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ร่างปี 62\08-form-AUN-QA\02-ข้อมูลประกอบ AUN-QA ที่ได้จากหน่วยงาน\ศูนย์สถาบัน\1-ศูนย์บริการฯ\4-ตารางคงอยู่ของนศ\"/>
    </mc:Choice>
  </mc:AlternateContent>
  <bookViews>
    <workbookView xWindow="0" yWindow="0" windowWidth="28800" windowHeight="10800" tabRatio="493"/>
  </bookViews>
  <sheets>
    <sheet name="AUN-QA 11.1-1-รุ่น59" sheetId="27" r:id="rId1"/>
    <sheet name="AUN-QA 11.1-1-รุ่น58" sheetId="25" r:id="rId2"/>
    <sheet name="c1-4-1-รุ่น57" sheetId="26" r:id="rId3"/>
  </sheets>
  <definedNames>
    <definedName name="b" localSheetId="1">#REF!</definedName>
    <definedName name="b" localSheetId="0">#REF!</definedName>
    <definedName name="b" localSheetId="2">#REF!</definedName>
    <definedName name="b">#REF!</definedName>
    <definedName name="_xlnm.Print_Area" localSheetId="1">'AUN-QA 11.1-1-รุ่น58'!$A$1:$S$85</definedName>
    <definedName name="_xlnm.Print_Area" localSheetId="0">'AUN-QA 11.1-1-รุ่น59'!$A$1:$S$84</definedName>
    <definedName name="_xlnm.Print_Area" localSheetId="2">'c1-4-1-รุ่น57'!$A$1:$R$79</definedName>
    <definedName name="_xlnm.Print_Titles" localSheetId="1">'AUN-QA 11.1-1-รุ่น58'!$2:$4</definedName>
    <definedName name="_xlnm.Print_Titles" localSheetId="0">'AUN-QA 11.1-1-รุ่น59'!$2:$4</definedName>
    <definedName name="_xlnm.Print_Titles" localSheetId="2">'c1-4-1-รุ่น57'!$2:$4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7" i="27" l="1"/>
  <c r="J33" i="27" l="1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8" i="27"/>
  <c r="J49" i="27"/>
  <c r="J50" i="27"/>
  <c r="J51" i="27"/>
  <c r="J53" i="27"/>
  <c r="J54" i="27"/>
  <c r="J60" i="27"/>
  <c r="J32" i="27"/>
  <c r="F72" i="27"/>
  <c r="J20" i="27"/>
  <c r="I20" i="27"/>
  <c r="K22" i="27"/>
  <c r="J22" i="27"/>
  <c r="I22" i="27"/>
  <c r="K20" i="27"/>
  <c r="K7" i="27"/>
  <c r="J7" i="27"/>
  <c r="I7" i="27"/>
  <c r="H64" i="27"/>
  <c r="H61" i="27"/>
  <c r="H28" i="27"/>
  <c r="H23" i="27"/>
  <c r="H17" i="27"/>
  <c r="H71" i="27"/>
  <c r="H68" i="27"/>
  <c r="H67" i="27"/>
  <c r="H63" i="27"/>
  <c r="H60" i="27"/>
  <c r="H55" i="27"/>
  <c r="H53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32" i="27"/>
  <c r="H26" i="27"/>
  <c r="H27" i="27"/>
  <c r="H25" i="27"/>
  <c r="H22" i="27"/>
  <c r="H20" i="27"/>
  <c r="H8" i="27"/>
  <c r="H9" i="27"/>
  <c r="H10" i="27"/>
  <c r="H11" i="27"/>
  <c r="H12" i="27"/>
  <c r="H13" i="27"/>
  <c r="H14" i="27"/>
  <c r="H15" i="27"/>
  <c r="H16" i="27"/>
  <c r="H7" i="27"/>
  <c r="D72" i="27"/>
  <c r="D75" i="27"/>
  <c r="B61" i="27" l="1"/>
  <c r="C61" i="27"/>
  <c r="C77" i="27"/>
  <c r="C75" i="27"/>
  <c r="C72" i="27"/>
  <c r="B77" i="27"/>
  <c r="B75" i="27"/>
  <c r="B72" i="27"/>
  <c r="O75" i="27"/>
  <c r="N75" i="27"/>
  <c r="M75" i="27"/>
  <c r="L75" i="27"/>
  <c r="T74" i="27"/>
  <c r="P74" i="27"/>
  <c r="S74" i="27" s="1"/>
  <c r="K74" i="27"/>
  <c r="J74" i="27"/>
  <c r="I74" i="27"/>
  <c r="P73" i="27"/>
  <c r="R74" i="27" l="1"/>
  <c r="Q74" i="27"/>
  <c r="P75" i="27"/>
  <c r="S75" i="27" s="1"/>
  <c r="R75" i="27"/>
  <c r="P71" i="27"/>
  <c r="P68" i="27"/>
  <c r="P67" i="27"/>
  <c r="P66" i="27"/>
  <c r="P60" i="27"/>
  <c r="P59" i="27"/>
  <c r="P58" i="27"/>
  <c r="P57" i="27"/>
  <c r="P56" i="27"/>
  <c r="P55" i="27"/>
  <c r="P54" i="27"/>
  <c r="P53" i="27"/>
  <c r="P52" i="27"/>
  <c r="P51" i="27"/>
  <c r="P50" i="27"/>
  <c r="P49" i="27"/>
  <c r="P48" i="27"/>
  <c r="P47" i="27"/>
  <c r="P46" i="27"/>
  <c r="P45" i="27"/>
  <c r="P44" i="27"/>
  <c r="P43" i="27"/>
  <c r="P42" i="27"/>
  <c r="P41" i="27"/>
  <c r="P40" i="27"/>
  <c r="P39" i="27"/>
  <c r="P38" i="27"/>
  <c r="P37" i="27"/>
  <c r="P36" i="27"/>
  <c r="P35" i="27"/>
  <c r="P34" i="27"/>
  <c r="P33" i="27"/>
  <c r="P32" i="27"/>
  <c r="P31" i="27"/>
  <c r="P30" i="27"/>
  <c r="P27" i="27"/>
  <c r="P26" i="27"/>
  <c r="P25" i="27"/>
  <c r="P22" i="27"/>
  <c r="P21" i="27"/>
  <c r="P20" i="27"/>
  <c r="P19" i="27"/>
  <c r="P16" i="27"/>
  <c r="P15" i="27"/>
  <c r="P14" i="27"/>
  <c r="P13" i="27"/>
  <c r="P12" i="27"/>
  <c r="P11" i="27"/>
  <c r="P10" i="27"/>
  <c r="P9" i="27"/>
  <c r="P8" i="27"/>
  <c r="P7" i="27"/>
  <c r="M64" i="27"/>
  <c r="Q75" i="27" l="1"/>
  <c r="O64" i="27"/>
  <c r="N64" i="27"/>
  <c r="P61" i="27"/>
  <c r="O61" i="27"/>
  <c r="N61" i="27"/>
  <c r="M61" i="27"/>
  <c r="L64" i="27" l="1"/>
  <c r="L61" i="27"/>
  <c r="G61" i="25" l="1"/>
  <c r="G17" i="25"/>
  <c r="R77" i="27" l="1"/>
  <c r="Q77" i="27"/>
  <c r="O77" i="27"/>
  <c r="N77" i="27"/>
  <c r="M77" i="27"/>
  <c r="L77" i="27"/>
  <c r="G77" i="27"/>
  <c r="F77" i="27"/>
  <c r="I77" i="27" s="1"/>
  <c r="E77" i="27"/>
  <c r="D77" i="27"/>
  <c r="P72" i="27"/>
  <c r="Q72" i="27" s="1"/>
  <c r="O72" i="27"/>
  <c r="N72" i="27"/>
  <c r="M72" i="27"/>
  <c r="L72" i="27"/>
  <c r="T71" i="27"/>
  <c r="S71" i="27"/>
  <c r="R71" i="27"/>
  <c r="Q71" i="27"/>
  <c r="K71" i="27"/>
  <c r="J71" i="27"/>
  <c r="I71" i="27"/>
  <c r="P70" i="27"/>
  <c r="O69" i="27"/>
  <c r="N69" i="27"/>
  <c r="M69" i="27"/>
  <c r="L69" i="27"/>
  <c r="G69" i="27"/>
  <c r="F69" i="27"/>
  <c r="E69" i="27"/>
  <c r="E72" i="27" s="1"/>
  <c r="E75" i="27" s="1"/>
  <c r="D69" i="27"/>
  <c r="C69" i="27"/>
  <c r="B69" i="27"/>
  <c r="T68" i="27"/>
  <c r="U68" i="27" s="1"/>
  <c r="S68" i="27"/>
  <c r="R68" i="27"/>
  <c r="K68" i="27"/>
  <c r="J68" i="27"/>
  <c r="T67" i="27"/>
  <c r="U67" i="27" s="1"/>
  <c r="K67" i="27"/>
  <c r="J67" i="27"/>
  <c r="I67" i="27"/>
  <c r="U66" i="27"/>
  <c r="T66" i="27"/>
  <c r="S66" i="27"/>
  <c r="Q66" i="27"/>
  <c r="I66" i="27"/>
  <c r="P65" i="27"/>
  <c r="P64" i="27"/>
  <c r="G64" i="27"/>
  <c r="F64" i="27"/>
  <c r="T64" i="27" s="1"/>
  <c r="E64" i="27"/>
  <c r="D64" i="27"/>
  <c r="C64" i="27"/>
  <c r="B64" i="27"/>
  <c r="I64" i="27" s="1"/>
  <c r="J64" i="27" s="1"/>
  <c r="T63" i="27"/>
  <c r="U63" i="27" s="1"/>
  <c r="P63" i="27"/>
  <c r="S77" i="27" s="1"/>
  <c r="K63" i="27"/>
  <c r="J63" i="27"/>
  <c r="I63" i="27"/>
  <c r="P62" i="27"/>
  <c r="G61" i="27"/>
  <c r="F61" i="27"/>
  <c r="E61" i="27"/>
  <c r="D61" i="27"/>
  <c r="T59" i="27"/>
  <c r="U59" i="27" s="1"/>
  <c r="T58" i="27"/>
  <c r="U58" i="27" s="1"/>
  <c r="T57" i="27"/>
  <c r="U57" i="27" s="1"/>
  <c r="T56" i="27"/>
  <c r="U56" i="27" s="1"/>
  <c r="T55" i="27"/>
  <c r="U55" i="27" s="1"/>
  <c r="S54" i="27"/>
  <c r="R54" i="27"/>
  <c r="K54" i="27"/>
  <c r="T53" i="27"/>
  <c r="U53" i="27" s="1"/>
  <c r="S53" i="27"/>
  <c r="R53" i="27"/>
  <c r="K53" i="27"/>
  <c r="T52" i="27"/>
  <c r="U52" i="27" s="1"/>
  <c r="S52" i="27"/>
  <c r="R52" i="27"/>
  <c r="K52" i="27"/>
  <c r="T51" i="27"/>
  <c r="U51" i="27" s="1"/>
  <c r="S51" i="27"/>
  <c r="R51" i="27"/>
  <c r="K51" i="27"/>
  <c r="T50" i="27"/>
  <c r="U50" i="27" s="1"/>
  <c r="S50" i="27"/>
  <c r="R50" i="27"/>
  <c r="K50" i="27"/>
  <c r="T49" i="27"/>
  <c r="U49" i="27" s="1"/>
  <c r="S49" i="27"/>
  <c r="R49" i="27"/>
  <c r="K49" i="27"/>
  <c r="T48" i="27"/>
  <c r="U48" i="27" s="1"/>
  <c r="S48" i="27"/>
  <c r="R48" i="27"/>
  <c r="K48" i="27"/>
  <c r="T46" i="27"/>
  <c r="U46" i="27" s="1"/>
  <c r="S46" i="27"/>
  <c r="R46" i="27"/>
  <c r="K46" i="27"/>
  <c r="T45" i="27"/>
  <c r="U45" i="27" s="1"/>
  <c r="S45" i="27"/>
  <c r="R45" i="27"/>
  <c r="K45" i="27"/>
  <c r="T44" i="27"/>
  <c r="U44" i="27" s="1"/>
  <c r="S44" i="27"/>
  <c r="R44" i="27"/>
  <c r="K44" i="27"/>
  <c r="T43" i="27"/>
  <c r="U43" i="27" s="1"/>
  <c r="S43" i="27"/>
  <c r="R43" i="27"/>
  <c r="K43" i="27"/>
  <c r="T42" i="27"/>
  <c r="U42" i="27" s="1"/>
  <c r="S42" i="27"/>
  <c r="R42" i="27"/>
  <c r="K42" i="27"/>
  <c r="T41" i="27"/>
  <c r="U41" i="27" s="1"/>
  <c r="S41" i="27"/>
  <c r="R41" i="27"/>
  <c r="K41" i="27"/>
  <c r="T40" i="27"/>
  <c r="U40" i="27" s="1"/>
  <c r="S40" i="27"/>
  <c r="R40" i="27"/>
  <c r="K40" i="27"/>
  <c r="T39" i="27"/>
  <c r="U39" i="27" s="1"/>
  <c r="S39" i="27"/>
  <c r="R39" i="27"/>
  <c r="K39" i="27"/>
  <c r="T38" i="27"/>
  <c r="U38" i="27" s="1"/>
  <c r="S38" i="27"/>
  <c r="R38" i="27"/>
  <c r="K38" i="27"/>
  <c r="T37" i="27"/>
  <c r="U37" i="27" s="1"/>
  <c r="S37" i="27"/>
  <c r="R37" i="27"/>
  <c r="K37" i="27"/>
  <c r="T36" i="27"/>
  <c r="U36" i="27" s="1"/>
  <c r="S36" i="27"/>
  <c r="R36" i="27"/>
  <c r="K36" i="27"/>
  <c r="T35" i="27"/>
  <c r="U35" i="27" s="1"/>
  <c r="S35" i="27"/>
  <c r="R35" i="27"/>
  <c r="K35" i="27"/>
  <c r="T34" i="27"/>
  <c r="U34" i="27" s="1"/>
  <c r="S34" i="27"/>
  <c r="R34" i="27"/>
  <c r="K34" i="27"/>
  <c r="T33" i="27"/>
  <c r="U33" i="27" s="1"/>
  <c r="S33" i="27"/>
  <c r="R33" i="27"/>
  <c r="K33" i="27"/>
  <c r="T32" i="27"/>
  <c r="U32" i="27" s="1"/>
  <c r="S32" i="27"/>
  <c r="R32" i="27"/>
  <c r="K32" i="27"/>
  <c r="S30" i="27"/>
  <c r="Q30" i="27"/>
  <c r="K30" i="27"/>
  <c r="J30" i="27"/>
  <c r="I30" i="27"/>
  <c r="O28" i="27"/>
  <c r="N28" i="27"/>
  <c r="M28" i="27"/>
  <c r="L28" i="27"/>
  <c r="G28" i="27"/>
  <c r="F28" i="27"/>
  <c r="E28" i="27"/>
  <c r="D28" i="27"/>
  <c r="C28" i="27"/>
  <c r="B28" i="27"/>
  <c r="T27" i="27"/>
  <c r="S27" i="27"/>
  <c r="R27" i="27"/>
  <c r="Q27" i="27"/>
  <c r="K27" i="27"/>
  <c r="T26" i="27"/>
  <c r="S26" i="27"/>
  <c r="R26" i="27"/>
  <c r="Q26" i="27"/>
  <c r="K26" i="27"/>
  <c r="T25" i="27"/>
  <c r="S25" i="27"/>
  <c r="R25" i="27"/>
  <c r="Q25" i="27"/>
  <c r="K25" i="27"/>
  <c r="P23" i="27"/>
  <c r="O23" i="27"/>
  <c r="N23" i="27"/>
  <c r="M23" i="27"/>
  <c r="L23" i="27"/>
  <c r="G23" i="27"/>
  <c r="F23" i="27"/>
  <c r="E23" i="27"/>
  <c r="D23" i="27"/>
  <c r="C23" i="27"/>
  <c r="B23" i="27"/>
  <c r="T22" i="27"/>
  <c r="R22" i="27"/>
  <c r="Q22" i="27"/>
  <c r="S22" i="27" s="1"/>
  <c r="T20" i="27"/>
  <c r="S20" i="27"/>
  <c r="R20" i="27"/>
  <c r="Q20" i="27"/>
  <c r="T19" i="27"/>
  <c r="S19" i="27"/>
  <c r="R19" i="27"/>
  <c r="Q19" i="27"/>
  <c r="J19" i="27"/>
  <c r="I19" i="27"/>
  <c r="P17" i="27"/>
  <c r="O17" i="27"/>
  <c r="N17" i="27"/>
  <c r="M17" i="27"/>
  <c r="L17" i="27"/>
  <c r="G17" i="27"/>
  <c r="F17" i="27"/>
  <c r="E17" i="27"/>
  <c r="D17" i="27"/>
  <c r="C17" i="27"/>
  <c r="B17" i="27"/>
  <c r="T16" i="27"/>
  <c r="T15" i="27"/>
  <c r="K15" i="27"/>
  <c r="T14" i="27"/>
  <c r="T13" i="27"/>
  <c r="K13" i="27"/>
  <c r="T12" i="27"/>
  <c r="T11" i="27"/>
  <c r="K11" i="27"/>
  <c r="T10" i="27"/>
  <c r="K10" i="27"/>
  <c r="T9" i="27"/>
  <c r="T8" i="27"/>
  <c r="T7" i="27"/>
  <c r="S7" i="27"/>
  <c r="R7" i="27"/>
  <c r="Q7" i="27"/>
  <c r="C74" i="26"/>
  <c r="C72" i="26" s="1"/>
  <c r="Q73" i="26"/>
  <c r="P73" i="26"/>
  <c r="N73" i="26"/>
  <c r="M73" i="26"/>
  <c r="L73" i="26"/>
  <c r="K73" i="26"/>
  <c r="H73" i="26"/>
  <c r="G73" i="26"/>
  <c r="F73" i="26"/>
  <c r="E73" i="26"/>
  <c r="D73" i="26"/>
  <c r="C73" i="26"/>
  <c r="B73" i="26"/>
  <c r="N71" i="26"/>
  <c r="M71" i="26"/>
  <c r="L71" i="26"/>
  <c r="K71" i="26"/>
  <c r="I71" i="26"/>
  <c r="H71" i="26"/>
  <c r="G71" i="26"/>
  <c r="D71" i="26"/>
  <c r="J71" i="26" s="1"/>
  <c r="S70" i="26"/>
  <c r="P70" i="26"/>
  <c r="O70" i="26"/>
  <c r="R70" i="26" s="1"/>
  <c r="J70" i="26"/>
  <c r="I70" i="26"/>
  <c r="H70" i="26"/>
  <c r="O69" i="26"/>
  <c r="N68" i="26"/>
  <c r="M68" i="26"/>
  <c r="L68" i="26"/>
  <c r="K68" i="26"/>
  <c r="J68" i="26"/>
  <c r="G68" i="26"/>
  <c r="F68" i="26"/>
  <c r="E68" i="26"/>
  <c r="I68" i="26" s="1"/>
  <c r="D68" i="26"/>
  <c r="C68" i="26"/>
  <c r="B68" i="26"/>
  <c r="T67" i="26"/>
  <c r="S67" i="26"/>
  <c r="Q67" i="26"/>
  <c r="O67" i="26"/>
  <c r="R67" i="26" s="1"/>
  <c r="J67" i="26"/>
  <c r="I67" i="26"/>
  <c r="T66" i="26"/>
  <c r="S66" i="26"/>
  <c r="O66" i="26"/>
  <c r="Q66" i="26" s="1"/>
  <c r="J66" i="26"/>
  <c r="I66" i="26"/>
  <c r="H66" i="26"/>
  <c r="S65" i="26"/>
  <c r="T65" i="26" s="1"/>
  <c r="R65" i="26"/>
  <c r="O65" i="26"/>
  <c r="P65" i="26" s="1"/>
  <c r="H65" i="26"/>
  <c r="O64" i="26"/>
  <c r="O63" i="26"/>
  <c r="G63" i="26"/>
  <c r="F63" i="26"/>
  <c r="E63" i="26"/>
  <c r="D63" i="26"/>
  <c r="C63" i="26"/>
  <c r="B63" i="26"/>
  <c r="T62" i="26"/>
  <c r="S62" i="26"/>
  <c r="O62" i="26"/>
  <c r="O73" i="26" s="1"/>
  <c r="R73" i="26" s="1"/>
  <c r="J62" i="26"/>
  <c r="I62" i="26"/>
  <c r="H62" i="26"/>
  <c r="O61" i="26"/>
  <c r="N60" i="26"/>
  <c r="M60" i="26"/>
  <c r="L60" i="26"/>
  <c r="K60" i="26"/>
  <c r="J60" i="26"/>
  <c r="G60" i="26"/>
  <c r="F60" i="26"/>
  <c r="E60" i="26"/>
  <c r="D60" i="26"/>
  <c r="C60" i="26"/>
  <c r="B60" i="26"/>
  <c r="T59" i="26"/>
  <c r="S59" i="26"/>
  <c r="O59" i="26"/>
  <c r="T58" i="26"/>
  <c r="S58" i="26"/>
  <c r="O58" i="26"/>
  <c r="S57" i="26"/>
  <c r="T57" i="26" s="1"/>
  <c r="O57" i="26"/>
  <c r="S56" i="26"/>
  <c r="T56" i="26" s="1"/>
  <c r="O56" i="26"/>
  <c r="T55" i="26"/>
  <c r="S55" i="26"/>
  <c r="O55" i="26"/>
  <c r="R54" i="26"/>
  <c r="Q54" i="26"/>
  <c r="O54" i="26"/>
  <c r="J54" i="26"/>
  <c r="I54" i="26"/>
  <c r="T53" i="26"/>
  <c r="S53" i="26"/>
  <c r="R53" i="26"/>
  <c r="Q53" i="26"/>
  <c r="P53" i="26"/>
  <c r="O53" i="26"/>
  <c r="J53" i="26"/>
  <c r="I53" i="26"/>
  <c r="H53" i="26"/>
  <c r="S52" i="26"/>
  <c r="T52" i="26" s="1"/>
  <c r="R52" i="26"/>
  <c r="Q52" i="26"/>
  <c r="O52" i="26"/>
  <c r="P52" i="26" s="1"/>
  <c r="J52" i="26"/>
  <c r="I52" i="26"/>
  <c r="H52" i="26"/>
  <c r="S51" i="26"/>
  <c r="T51" i="26" s="1"/>
  <c r="O51" i="26"/>
  <c r="J51" i="26"/>
  <c r="I51" i="26"/>
  <c r="H51" i="26"/>
  <c r="T50" i="26"/>
  <c r="S50" i="26"/>
  <c r="P50" i="26"/>
  <c r="O50" i="26"/>
  <c r="R50" i="26" s="1"/>
  <c r="J50" i="26"/>
  <c r="I50" i="26"/>
  <c r="H50" i="26"/>
  <c r="T49" i="26"/>
  <c r="S49" i="26"/>
  <c r="R49" i="26"/>
  <c r="Q49" i="26"/>
  <c r="P49" i="26"/>
  <c r="O49" i="26"/>
  <c r="J49" i="26"/>
  <c r="I49" i="26"/>
  <c r="H49" i="26"/>
  <c r="S48" i="26"/>
  <c r="T48" i="26" s="1"/>
  <c r="R48" i="26"/>
  <c r="Q48" i="26"/>
  <c r="O48" i="26"/>
  <c r="P48" i="26" s="1"/>
  <c r="J48" i="26"/>
  <c r="I48" i="26"/>
  <c r="H48" i="26"/>
  <c r="S46" i="26"/>
  <c r="T46" i="26" s="1"/>
  <c r="O46" i="26"/>
  <c r="J46" i="26"/>
  <c r="I46" i="26"/>
  <c r="H46" i="26"/>
  <c r="T45" i="26"/>
  <c r="S45" i="26"/>
  <c r="P45" i="26"/>
  <c r="O45" i="26"/>
  <c r="R45" i="26" s="1"/>
  <c r="J45" i="26"/>
  <c r="I45" i="26"/>
  <c r="H45" i="26"/>
  <c r="T44" i="26"/>
  <c r="S44" i="26"/>
  <c r="R44" i="26"/>
  <c r="Q44" i="26"/>
  <c r="P44" i="26"/>
  <c r="O44" i="26"/>
  <c r="J44" i="26"/>
  <c r="I44" i="26"/>
  <c r="H44" i="26"/>
  <c r="S43" i="26"/>
  <c r="T43" i="26" s="1"/>
  <c r="R43" i="26"/>
  <c r="Q43" i="26"/>
  <c r="O43" i="26"/>
  <c r="P43" i="26" s="1"/>
  <c r="J43" i="26"/>
  <c r="I43" i="26"/>
  <c r="H43" i="26"/>
  <c r="S42" i="26"/>
  <c r="T42" i="26" s="1"/>
  <c r="O42" i="26"/>
  <c r="J42" i="26"/>
  <c r="I42" i="26"/>
  <c r="H42" i="26"/>
  <c r="T41" i="26"/>
  <c r="S41" i="26"/>
  <c r="P41" i="26"/>
  <c r="O41" i="26"/>
  <c r="R41" i="26" s="1"/>
  <c r="J41" i="26"/>
  <c r="I41" i="26"/>
  <c r="H41" i="26"/>
  <c r="T40" i="26"/>
  <c r="S40" i="26"/>
  <c r="R40" i="26"/>
  <c r="Q40" i="26"/>
  <c r="P40" i="26"/>
  <c r="O40" i="26"/>
  <c r="J40" i="26"/>
  <c r="I40" i="26"/>
  <c r="H40" i="26"/>
  <c r="S39" i="26"/>
  <c r="T39" i="26" s="1"/>
  <c r="R39" i="26"/>
  <c r="Q39" i="26"/>
  <c r="O39" i="26"/>
  <c r="P39" i="26" s="1"/>
  <c r="J39" i="26"/>
  <c r="I39" i="26"/>
  <c r="H39" i="26"/>
  <c r="S38" i="26"/>
  <c r="T38" i="26" s="1"/>
  <c r="O38" i="26"/>
  <c r="J38" i="26"/>
  <c r="I38" i="26"/>
  <c r="H38" i="26"/>
  <c r="T37" i="26"/>
  <c r="S37" i="26"/>
  <c r="P37" i="26"/>
  <c r="O37" i="26"/>
  <c r="R37" i="26" s="1"/>
  <c r="J37" i="26"/>
  <c r="I37" i="26"/>
  <c r="H37" i="26"/>
  <c r="T36" i="26"/>
  <c r="S36" i="26"/>
  <c r="R36" i="26"/>
  <c r="Q36" i="26"/>
  <c r="P36" i="26"/>
  <c r="O36" i="26"/>
  <c r="J36" i="26"/>
  <c r="I36" i="26"/>
  <c r="H36" i="26"/>
  <c r="S35" i="26"/>
  <c r="T35" i="26" s="1"/>
  <c r="R35" i="26"/>
  <c r="Q35" i="26"/>
  <c r="O35" i="26"/>
  <c r="P35" i="26" s="1"/>
  <c r="J35" i="26"/>
  <c r="I35" i="26"/>
  <c r="H35" i="26"/>
  <c r="S34" i="26"/>
  <c r="T34" i="26" s="1"/>
  <c r="O34" i="26"/>
  <c r="J34" i="26"/>
  <c r="I34" i="26"/>
  <c r="H34" i="26"/>
  <c r="T33" i="26"/>
  <c r="S33" i="26"/>
  <c r="P33" i="26"/>
  <c r="O33" i="26"/>
  <c r="R33" i="26" s="1"/>
  <c r="J33" i="26"/>
  <c r="I33" i="26"/>
  <c r="H33" i="26"/>
  <c r="T32" i="26"/>
  <c r="S32" i="26"/>
  <c r="Q32" i="26"/>
  <c r="P32" i="26"/>
  <c r="O32" i="26"/>
  <c r="R32" i="26" s="1"/>
  <c r="J32" i="26"/>
  <c r="I32" i="26"/>
  <c r="H32" i="26"/>
  <c r="O30" i="26"/>
  <c r="J30" i="26"/>
  <c r="I30" i="26"/>
  <c r="H30" i="26"/>
  <c r="N28" i="26"/>
  <c r="M28" i="26"/>
  <c r="L28" i="26"/>
  <c r="K28" i="26"/>
  <c r="O28" i="26" s="1"/>
  <c r="R28" i="26" s="1"/>
  <c r="G28" i="26"/>
  <c r="F28" i="26"/>
  <c r="J28" i="26" s="1"/>
  <c r="E28" i="26"/>
  <c r="I28" i="26" s="1"/>
  <c r="D28" i="26"/>
  <c r="C28" i="26"/>
  <c r="B28" i="26"/>
  <c r="S27" i="26"/>
  <c r="P27" i="26"/>
  <c r="O27" i="26"/>
  <c r="R27" i="26" s="1"/>
  <c r="J27" i="26"/>
  <c r="I27" i="26"/>
  <c r="H27" i="26"/>
  <c r="S26" i="26"/>
  <c r="P26" i="26"/>
  <c r="O26" i="26"/>
  <c r="R26" i="26" s="1"/>
  <c r="J26" i="26"/>
  <c r="I26" i="26"/>
  <c r="H26" i="26"/>
  <c r="S25" i="26"/>
  <c r="P25" i="26"/>
  <c r="O25" i="26"/>
  <c r="R25" i="26" s="1"/>
  <c r="J25" i="26"/>
  <c r="I25" i="26"/>
  <c r="H25" i="26"/>
  <c r="N23" i="26"/>
  <c r="M23" i="26"/>
  <c r="L23" i="26"/>
  <c r="K23" i="26"/>
  <c r="K74" i="26" s="1"/>
  <c r="K72" i="26" s="1"/>
  <c r="G23" i="26"/>
  <c r="F23" i="26"/>
  <c r="J23" i="26" s="1"/>
  <c r="E23" i="26"/>
  <c r="D23" i="26"/>
  <c r="C23" i="26"/>
  <c r="B23" i="26"/>
  <c r="S22" i="26"/>
  <c r="Q22" i="26"/>
  <c r="P22" i="26"/>
  <c r="R22" i="26" s="1"/>
  <c r="O22" i="26"/>
  <c r="J22" i="26"/>
  <c r="I22" i="26"/>
  <c r="H22" i="26"/>
  <c r="S20" i="26"/>
  <c r="Q20" i="26"/>
  <c r="P20" i="26"/>
  <c r="O20" i="26"/>
  <c r="R20" i="26" s="1"/>
  <c r="J20" i="26"/>
  <c r="S19" i="26"/>
  <c r="O19" i="26"/>
  <c r="J19" i="26"/>
  <c r="I19" i="26"/>
  <c r="H19" i="26"/>
  <c r="N17" i="26"/>
  <c r="M17" i="26"/>
  <c r="M74" i="26" s="1"/>
  <c r="M72" i="26" s="1"/>
  <c r="L17" i="26"/>
  <c r="L74" i="26" s="1"/>
  <c r="L72" i="26" s="1"/>
  <c r="K17" i="26"/>
  <c r="J17" i="26"/>
  <c r="G17" i="26"/>
  <c r="F17" i="26"/>
  <c r="F74" i="26" s="1"/>
  <c r="F72" i="26" s="1"/>
  <c r="E17" i="26"/>
  <c r="D17" i="26"/>
  <c r="D74" i="26" s="1"/>
  <c r="D72" i="26" s="1"/>
  <c r="C17" i="26"/>
  <c r="B17" i="26"/>
  <c r="B74" i="26" s="1"/>
  <c r="B72" i="26" s="1"/>
  <c r="S16" i="26"/>
  <c r="S15" i="26"/>
  <c r="J15" i="26"/>
  <c r="I15" i="26"/>
  <c r="S14" i="26"/>
  <c r="S13" i="26"/>
  <c r="J13" i="26"/>
  <c r="I13" i="26"/>
  <c r="S12" i="26"/>
  <c r="S11" i="26"/>
  <c r="J11" i="26"/>
  <c r="I11" i="26"/>
  <c r="S10" i="26"/>
  <c r="J10" i="26"/>
  <c r="I10" i="26"/>
  <c r="S9" i="26"/>
  <c r="S8" i="26"/>
  <c r="S7" i="26"/>
  <c r="R7" i="26"/>
  <c r="Q7" i="26"/>
  <c r="P7" i="26"/>
  <c r="O7" i="26"/>
  <c r="O17" i="26" s="1"/>
  <c r="J7" i="26"/>
  <c r="I7" i="26"/>
  <c r="H7" i="26"/>
  <c r="S77" i="25"/>
  <c r="P77" i="25"/>
  <c r="O77" i="25"/>
  <c r="N77" i="25"/>
  <c r="M77" i="25"/>
  <c r="L77" i="25"/>
  <c r="K77" i="25"/>
  <c r="G77" i="25"/>
  <c r="F77" i="25"/>
  <c r="J77" i="25" s="1"/>
  <c r="E77" i="25"/>
  <c r="I77" i="25" s="1"/>
  <c r="D77" i="25"/>
  <c r="C77" i="25"/>
  <c r="B77" i="25"/>
  <c r="R75" i="25"/>
  <c r="O75" i="25"/>
  <c r="N75" i="25"/>
  <c r="M75" i="25"/>
  <c r="L75" i="25"/>
  <c r="J75" i="25"/>
  <c r="G75" i="25"/>
  <c r="F75" i="25"/>
  <c r="K75" i="25" s="1"/>
  <c r="E75" i="25"/>
  <c r="I75" i="25" s="1"/>
  <c r="D75" i="25"/>
  <c r="C75" i="25"/>
  <c r="B75" i="25"/>
  <c r="T74" i="25"/>
  <c r="Q74" i="25"/>
  <c r="P74" i="25"/>
  <c r="P75" i="25" s="1"/>
  <c r="K74" i="25"/>
  <c r="J74" i="25"/>
  <c r="I74" i="25"/>
  <c r="H74" i="25"/>
  <c r="P73" i="25"/>
  <c r="H73" i="25"/>
  <c r="O72" i="25"/>
  <c r="N72" i="25"/>
  <c r="M72" i="25"/>
  <c r="L72" i="25"/>
  <c r="K72" i="25"/>
  <c r="G72" i="25"/>
  <c r="F72" i="25"/>
  <c r="E72" i="25"/>
  <c r="J72" i="25" s="1"/>
  <c r="D72" i="25"/>
  <c r="C72" i="25"/>
  <c r="B72" i="25"/>
  <c r="T71" i="25"/>
  <c r="R71" i="25"/>
  <c r="P71" i="25"/>
  <c r="Q71" i="25" s="1"/>
  <c r="K71" i="25"/>
  <c r="J71" i="25"/>
  <c r="I71" i="25"/>
  <c r="H71" i="25"/>
  <c r="P70" i="25"/>
  <c r="H70" i="25"/>
  <c r="O69" i="25"/>
  <c r="N69" i="25"/>
  <c r="J69" i="25"/>
  <c r="G69" i="25"/>
  <c r="F69" i="25"/>
  <c r="H69" i="25" s="1"/>
  <c r="E69" i="25"/>
  <c r="I69" i="25" s="1"/>
  <c r="D69" i="25"/>
  <c r="C69" i="25"/>
  <c r="B69" i="25"/>
  <c r="T68" i="25"/>
  <c r="U68" i="25" s="1"/>
  <c r="N68" i="25"/>
  <c r="M68" i="25"/>
  <c r="L68" i="25"/>
  <c r="P68" i="25" s="1"/>
  <c r="S68" i="25" s="1"/>
  <c r="K68" i="25"/>
  <c r="J68" i="25"/>
  <c r="H68" i="25"/>
  <c r="U67" i="25"/>
  <c r="T67" i="25"/>
  <c r="R67" i="25"/>
  <c r="P67" i="25"/>
  <c r="K67" i="25"/>
  <c r="J67" i="25"/>
  <c r="I67" i="25"/>
  <c r="H67" i="25"/>
  <c r="U66" i="25"/>
  <c r="T66" i="25"/>
  <c r="P66" i="25"/>
  <c r="M66" i="25"/>
  <c r="M69" i="25" s="1"/>
  <c r="L66" i="25"/>
  <c r="L69" i="25" s="1"/>
  <c r="P69" i="25" s="1"/>
  <c r="I66" i="25"/>
  <c r="H66" i="25"/>
  <c r="P65" i="25"/>
  <c r="H65" i="25"/>
  <c r="T64" i="25"/>
  <c r="P64" i="25"/>
  <c r="I64" i="25"/>
  <c r="G64" i="25"/>
  <c r="F64" i="25"/>
  <c r="E64" i="25"/>
  <c r="D64" i="25"/>
  <c r="C64" i="25"/>
  <c r="U64" i="25" s="1"/>
  <c r="B64" i="25"/>
  <c r="U63" i="25"/>
  <c r="T63" i="25"/>
  <c r="S63" i="25"/>
  <c r="R63" i="25"/>
  <c r="R77" i="25" s="1"/>
  <c r="Q63" i="25"/>
  <c r="Q77" i="25" s="1"/>
  <c r="K63" i="25"/>
  <c r="J63" i="25"/>
  <c r="J64" i="25" s="1"/>
  <c r="I63" i="25"/>
  <c r="H63" i="25"/>
  <c r="P62" i="25"/>
  <c r="H62" i="25"/>
  <c r="F61" i="25"/>
  <c r="K61" i="25" s="1"/>
  <c r="E61" i="25"/>
  <c r="D61" i="25"/>
  <c r="C61" i="25"/>
  <c r="B61" i="25"/>
  <c r="O60" i="25"/>
  <c r="N60" i="25"/>
  <c r="P60" i="25" s="1"/>
  <c r="S60" i="25" s="1"/>
  <c r="K60" i="25"/>
  <c r="H60" i="25"/>
  <c r="T59" i="25"/>
  <c r="U59" i="25" s="1"/>
  <c r="P59" i="25"/>
  <c r="H59" i="25"/>
  <c r="T58" i="25"/>
  <c r="U58" i="25" s="1"/>
  <c r="P58" i="25"/>
  <c r="H58" i="25"/>
  <c r="T57" i="25"/>
  <c r="U57" i="25" s="1"/>
  <c r="P57" i="25"/>
  <c r="H57" i="25"/>
  <c r="T56" i="25"/>
  <c r="U56" i="25" s="1"/>
  <c r="P56" i="25"/>
  <c r="H56" i="25"/>
  <c r="T55" i="25"/>
  <c r="U55" i="25" s="1"/>
  <c r="P55" i="25"/>
  <c r="H55" i="25"/>
  <c r="N54" i="25"/>
  <c r="M54" i="25"/>
  <c r="L54" i="25"/>
  <c r="P54" i="25" s="1"/>
  <c r="S54" i="25" s="1"/>
  <c r="K54" i="25"/>
  <c r="J54" i="25"/>
  <c r="H54" i="25"/>
  <c r="U53" i="25"/>
  <c r="T53" i="25"/>
  <c r="O53" i="25"/>
  <c r="N53" i="25"/>
  <c r="M53" i="25"/>
  <c r="L53" i="25"/>
  <c r="P53" i="25" s="1"/>
  <c r="K53" i="25"/>
  <c r="J53" i="25"/>
  <c r="I53" i="25"/>
  <c r="H53" i="25"/>
  <c r="T52" i="25"/>
  <c r="U52" i="25" s="1"/>
  <c r="S52" i="25"/>
  <c r="R52" i="25"/>
  <c r="P52" i="25"/>
  <c r="K52" i="25"/>
  <c r="J52" i="25"/>
  <c r="I52" i="25"/>
  <c r="H52" i="25"/>
  <c r="T51" i="25"/>
  <c r="U51" i="25" s="1"/>
  <c r="S51" i="25"/>
  <c r="P51" i="25"/>
  <c r="R51" i="25" s="1"/>
  <c r="K51" i="25"/>
  <c r="J51" i="25"/>
  <c r="I51" i="25"/>
  <c r="H51" i="25"/>
  <c r="T50" i="25"/>
  <c r="U50" i="25" s="1"/>
  <c r="O50" i="25"/>
  <c r="N50" i="25"/>
  <c r="M50" i="25"/>
  <c r="L50" i="25"/>
  <c r="K50" i="25"/>
  <c r="J50" i="25"/>
  <c r="I50" i="25"/>
  <c r="H50" i="25"/>
  <c r="U49" i="25"/>
  <c r="T49" i="25"/>
  <c r="R49" i="25"/>
  <c r="P49" i="25"/>
  <c r="S49" i="25" s="1"/>
  <c r="M49" i="25"/>
  <c r="L49" i="25"/>
  <c r="K49" i="25"/>
  <c r="J49" i="25"/>
  <c r="I49" i="25"/>
  <c r="H49" i="25"/>
  <c r="U48" i="25"/>
  <c r="T48" i="25"/>
  <c r="N48" i="25"/>
  <c r="P48" i="25" s="1"/>
  <c r="M48" i="25"/>
  <c r="L48" i="25"/>
  <c r="K48" i="25"/>
  <c r="J48" i="25"/>
  <c r="I48" i="25"/>
  <c r="H48" i="25"/>
  <c r="P47" i="25"/>
  <c r="H47" i="25"/>
  <c r="U46" i="25"/>
  <c r="T46" i="25"/>
  <c r="P46" i="25"/>
  <c r="H46" i="25"/>
  <c r="U45" i="25"/>
  <c r="T45" i="25"/>
  <c r="R45" i="25"/>
  <c r="P45" i="25"/>
  <c r="S45" i="25" s="1"/>
  <c r="N45" i="25"/>
  <c r="M45" i="25"/>
  <c r="K45" i="25"/>
  <c r="J45" i="25"/>
  <c r="I45" i="25"/>
  <c r="H45" i="25"/>
  <c r="U44" i="25"/>
  <c r="T44" i="25"/>
  <c r="P44" i="25"/>
  <c r="S44" i="25" s="1"/>
  <c r="O44" i="25"/>
  <c r="N44" i="25"/>
  <c r="M44" i="25"/>
  <c r="K44" i="25"/>
  <c r="J44" i="25"/>
  <c r="I44" i="25"/>
  <c r="H44" i="25"/>
  <c r="U43" i="25"/>
  <c r="T43" i="25"/>
  <c r="P43" i="25"/>
  <c r="S43" i="25" s="1"/>
  <c r="N43" i="25"/>
  <c r="M43" i="25"/>
  <c r="K43" i="25"/>
  <c r="J43" i="25"/>
  <c r="I43" i="25"/>
  <c r="H43" i="25"/>
  <c r="T42" i="25"/>
  <c r="U42" i="25" s="1"/>
  <c r="N42" i="25"/>
  <c r="M42" i="25"/>
  <c r="P42" i="25" s="1"/>
  <c r="L42" i="25"/>
  <c r="K42" i="25"/>
  <c r="J42" i="25"/>
  <c r="I42" i="25"/>
  <c r="H42" i="25"/>
  <c r="T41" i="25"/>
  <c r="U41" i="25" s="1"/>
  <c r="M41" i="25"/>
  <c r="L41" i="25"/>
  <c r="P41" i="25" s="1"/>
  <c r="K41" i="25"/>
  <c r="J41" i="25"/>
  <c r="I41" i="25"/>
  <c r="H41" i="25"/>
  <c r="T40" i="25"/>
  <c r="U40" i="25" s="1"/>
  <c r="N40" i="25"/>
  <c r="M40" i="25"/>
  <c r="L40" i="25"/>
  <c r="P40" i="25" s="1"/>
  <c r="K40" i="25"/>
  <c r="J40" i="25"/>
  <c r="I40" i="25"/>
  <c r="H40" i="25"/>
  <c r="T39" i="25"/>
  <c r="U39" i="25" s="1"/>
  <c r="M39" i="25"/>
  <c r="L39" i="25"/>
  <c r="P39" i="25" s="1"/>
  <c r="K39" i="25"/>
  <c r="J39" i="25"/>
  <c r="I39" i="25"/>
  <c r="H39" i="25"/>
  <c r="U38" i="25"/>
  <c r="T38" i="25"/>
  <c r="O38" i="25"/>
  <c r="N38" i="25"/>
  <c r="M38" i="25"/>
  <c r="L38" i="25"/>
  <c r="P38" i="25" s="1"/>
  <c r="K38" i="25"/>
  <c r="J38" i="25"/>
  <c r="I38" i="25"/>
  <c r="H38" i="25"/>
  <c r="T37" i="25"/>
  <c r="U37" i="25" s="1"/>
  <c r="M37" i="25"/>
  <c r="L37" i="25"/>
  <c r="P37" i="25" s="1"/>
  <c r="K37" i="25"/>
  <c r="J37" i="25"/>
  <c r="I37" i="25"/>
  <c r="H37" i="25"/>
  <c r="U36" i="25"/>
  <c r="T36" i="25"/>
  <c r="R36" i="25"/>
  <c r="P36" i="25"/>
  <c r="S36" i="25" s="1"/>
  <c r="M36" i="25"/>
  <c r="L36" i="25"/>
  <c r="K36" i="25"/>
  <c r="J36" i="25"/>
  <c r="I36" i="25"/>
  <c r="H36" i="25"/>
  <c r="U35" i="25"/>
  <c r="T35" i="25"/>
  <c r="P35" i="25"/>
  <c r="S35" i="25" s="1"/>
  <c r="N35" i="25"/>
  <c r="M35" i="25"/>
  <c r="L35" i="25"/>
  <c r="K35" i="25"/>
  <c r="J35" i="25"/>
  <c r="I35" i="25"/>
  <c r="H35" i="25"/>
  <c r="U34" i="25"/>
  <c r="T34" i="25"/>
  <c r="P34" i="25"/>
  <c r="S34" i="25" s="1"/>
  <c r="M34" i="25"/>
  <c r="L34" i="25"/>
  <c r="K34" i="25"/>
  <c r="J34" i="25"/>
  <c r="I34" i="25"/>
  <c r="H34" i="25"/>
  <c r="T33" i="25"/>
  <c r="U33" i="25" s="1"/>
  <c r="O33" i="25"/>
  <c r="O61" i="25" s="1"/>
  <c r="N33" i="25"/>
  <c r="N61" i="25" s="1"/>
  <c r="M33" i="25"/>
  <c r="L33" i="25"/>
  <c r="P33" i="25" s="1"/>
  <c r="K33" i="25"/>
  <c r="J33" i="25"/>
  <c r="I33" i="25"/>
  <c r="H33" i="25"/>
  <c r="U32" i="25"/>
  <c r="T32" i="25"/>
  <c r="P32" i="25"/>
  <c r="S32" i="25" s="1"/>
  <c r="M32" i="25"/>
  <c r="L32" i="25"/>
  <c r="K32" i="25"/>
  <c r="J32" i="25"/>
  <c r="I32" i="25"/>
  <c r="H32" i="25"/>
  <c r="P31" i="25"/>
  <c r="H31" i="25"/>
  <c r="M30" i="25"/>
  <c r="L30" i="25"/>
  <c r="L61" i="25" s="1"/>
  <c r="I30" i="25"/>
  <c r="H30" i="25"/>
  <c r="H29" i="25"/>
  <c r="O28" i="25"/>
  <c r="K28" i="25"/>
  <c r="G28" i="25"/>
  <c r="F28" i="25"/>
  <c r="J28" i="25" s="1"/>
  <c r="E28" i="25"/>
  <c r="I28" i="25" s="1"/>
  <c r="D28" i="25"/>
  <c r="C28" i="25"/>
  <c r="B28" i="25"/>
  <c r="T27" i="25"/>
  <c r="N27" i="25"/>
  <c r="M27" i="25"/>
  <c r="L27" i="25"/>
  <c r="P27" i="25" s="1"/>
  <c r="K27" i="25"/>
  <c r="H27" i="25"/>
  <c r="T26" i="25"/>
  <c r="P26" i="25"/>
  <c r="S26" i="25" s="1"/>
  <c r="N26" i="25"/>
  <c r="M26" i="25"/>
  <c r="L26" i="25"/>
  <c r="K26" i="25"/>
  <c r="H26" i="25"/>
  <c r="T25" i="25"/>
  <c r="N25" i="25"/>
  <c r="N28" i="25" s="1"/>
  <c r="M25" i="25"/>
  <c r="M28" i="25" s="1"/>
  <c r="L25" i="25"/>
  <c r="P25" i="25" s="1"/>
  <c r="K25" i="25"/>
  <c r="H25" i="25"/>
  <c r="H24" i="25"/>
  <c r="L23" i="25"/>
  <c r="H23" i="25"/>
  <c r="F23" i="25"/>
  <c r="E23" i="25"/>
  <c r="J23" i="25" s="1"/>
  <c r="D23" i="25"/>
  <c r="K23" i="25" s="1"/>
  <c r="C23" i="25"/>
  <c r="B23" i="25"/>
  <c r="T22" i="25"/>
  <c r="N22" i="25"/>
  <c r="M22" i="25"/>
  <c r="L22" i="25"/>
  <c r="P22" i="25" s="1"/>
  <c r="K22" i="25"/>
  <c r="J22" i="25"/>
  <c r="I22" i="25"/>
  <c r="H22" i="25"/>
  <c r="T21" i="25"/>
  <c r="P21" i="25"/>
  <c r="S21" i="25" s="1"/>
  <c r="N21" i="25"/>
  <c r="M21" i="25"/>
  <c r="K21" i="25"/>
  <c r="H21" i="25"/>
  <c r="T20" i="25"/>
  <c r="O20" i="25"/>
  <c r="O23" i="25" s="1"/>
  <c r="N20" i="25"/>
  <c r="N23" i="25" s="1"/>
  <c r="M20" i="25"/>
  <c r="M23" i="25" s="1"/>
  <c r="L20" i="25"/>
  <c r="P20" i="25" s="1"/>
  <c r="I20" i="25"/>
  <c r="I19" i="25" s="1"/>
  <c r="H20" i="25"/>
  <c r="M19" i="25"/>
  <c r="L19" i="25"/>
  <c r="H19" i="25"/>
  <c r="G19" i="25"/>
  <c r="G23" i="25" s="1"/>
  <c r="F19" i="25"/>
  <c r="E19" i="25"/>
  <c r="K19" i="25" s="1"/>
  <c r="D19" i="25"/>
  <c r="C19" i="25"/>
  <c r="B19" i="25"/>
  <c r="H18" i="25"/>
  <c r="O17" i="25"/>
  <c r="E17" i="25"/>
  <c r="E78" i="25" s="1"/>
  <c r="D17" i="25"/>
  <c r="C17" i="25"/>
  <c r="C78" i="25" s="1"/>
  <c r="C76" i="25" s="1"/>
  <c r="T16" i="25"/>
  <c r="P16" i="25"/>
  <c r="H16" i="25"/>
  <c r="T15" i="25"/>
  <c r="P15" i="25"/>
  <c r="S15" i="25" s="1"/>
  <c r="K15" i="25"/>
  <c r="J15" i="25"/>
  <c r="H15" i="25"/>
  <c r="T14" i="25"/>
  <c r="P14" i="25"/>
  <c r="H14" i="25"/>
  <c r="T13" i="25"/>
  <c r="S13" i="25"/>
  <c r="R13" i="25"/>
  <c r="P13" i="25"/>
  <c r="K13" i="25"/>
  <c r="J13" i="25"/>
  <c r="H13" i="25"/>
  <c r="T12" i="25"/>
  <c r="P12" i="25"/>
  <c r="H12" i="25"/>
  <c r="T11" i="25"/>
  <c r="P11" i="25"/>
  <c r="S11" i="25" s="1"/>
  <c r="K11" i="25"/>
  <c r="J11" i="25"/>
  <c r="H11" i="25"/>
  <c r="T10" i="25"/>
  <c r="S10" i="25"/>
  <c r="P10" i="25"/>
  <c r="R10" i="25" s="1"/>
  <c r="K10" i="25"/>
  <c r="J10" i="25"/>
  <c r="H10" i="25"/>
  <c r="T9" i="25"/>
  <c r="S9" i="25"/>
  <c r="Q9" i="25"/>
  <c r="P9" i="25"/>
  <c r="H9" i="25"/>
  <c r="T8" i="25"/>
  <c r="O8" i="25"/>
  <c r="N8" i="25"/>
  <c r="N17" i="25" s="1"/>
  <c r="M8" i="25"/>
  <c r="M17" i="25" s="1"/>
  <c r="L8" i="25"/>
  <c r="P8" i="25" s="1"/>
  <c r="H8" i="25"/>
  <c r="F8" i="25"/>
  <c r="F17" i="25" s="1"/>
  <c r="C8" i="25"/>
  <c r="B8" i="25"/>
  <c r="B17" i="25" s="1"/>
  <c r="B78" i="25" s="1"/>
  <c r="B76" i="25" s="1"/>
  <c r="T7" i="25"/>
  <c r="P7" i="25"/>
  <c r="S7" i="25" s="1"/>
  <c r="K7" i="25"/>
  <c r="J7" i="25"/>
  <c r="I7" i="25"/>
  <c r="H7" i="25"/>
  <c r="H17" i="25" s="1"/>
  <c r="B78" i="27" l="1"/>
  <c r="C78" i="27"/>
  <c r="C76" i="27" s="1"/>
  <c r="G78" i="27"/>
  <c r="D78" i="27"/>
  <c r="D76" i="27" s="1"/>
  <c r="B76" i="27"/>
  <c r="I23" i="27"/>
  <c r="R72" i="27"/>
  <c r="O78" i="27"/>
  <c r="O76" i="27" s="1"/>
  <c r="N78" i="27"/>
  <c r="N76" i="27" s="1"/>
  <c r="P69" i="27"/>
  <c r="S69" i="27" s="1"/>
  <c r="M78" i="27"/>
  <c r="M76" i="27" s="1"/>
  <c r="P28" i="27"/>
  <c r="R28" i="27" s="1"/>
  <c r="S23" i="27"/>
  <c r="L78" i="27"/>
  <c r="L76" i="27" s="1"/>
  <c r="G74" i="26"/>
  <c r="G72" i="26" s="1"/>
  <c r="K77" i="27"/>
  <c r="K64" i="27"/>
  <c r="G78" i="25"/>
  <c r="K69" i="27"/>
  <c r="J75" i="27"/>
  <c r="J69" i="27"/>
  <c r="K28" i="27"/>
  <c r="K23" i="27"/>
  <c r="I17" i="27"/>
  <c r="K61" i="27"/>
  <c r="I28" i="27"/>
  <c r="K17" i="27"/>
  <c r="S17" i="27"/>
  <c r="S61" i="27"/>
  <c r="R61" i="27"/>
  <c r="Q61" i="27"/>
  <c r="U64" i="27"/>
  <c r="R69" i="27"/>
  <c r="Q17" i="27"/>
  <c r="Q23" i="27"/>
  <c r="I61" i="27"/>
  <c r="S63" i="27"/>
  <c r="T69" i="27"/>
  <c r="U69" i="27" s="1"/>
  <c r="S72" i="27"/>
  <c r="J77" i="27"/>
  <c r="J17" i="27"/>
  <c r="R17" i="27"/>
  <c r="J23" i="27"/>
  <c r="R23" i="27"/>
  <c r="J28" i="27"/>
  <c r="J61" i="27"/>
  <c r="I69" i="27"/>
  <c r="E78" i="27"/>
  <c r="E76" i="25"/>
  <c r="R40" i="25"/>
  <c r="S40" i="25"/>
  <c r="M78" i="25"/>
  <c r="M76" i="25" s="1"/>
  <c r="Q25" i="25"/>
  <c r="R25" i="25"/>
  <c r="P28" i="25"/>
  <c r="S25" i="25"/>
  <c r="R39" i="25"/>
  <c r="S39" i="25"/>
  <c r="S53" i="25"/>
  <c r="R53" i="25"/>
  <c r="S8" i="25"/>
  <c r="R8" i="25"/>
  <c r="Q8" i="25"/>
  <c r="S41" i="25"/>
  <c r="R41" i="25"/>
  <c r="S48" i="25"/>
  <c r="R48" i="25"/>
  <c r="F78" i="25"/>
  <c r="F76" i="25" s="1"/>
  <c r="J17" i="25"/>
  <c r="K17" i="25"/>
  <c r="Q27" i="25"/>
  <c r="R27" i="25"/>
  <c r="S27" i="25"/>
  <c r="S33" i="25"/>
  <c r="R33" i="25"/>
  <c r="R37" i="25"/>
  <c r="S37" i="25"/>
  <c r="S42" i="25"/>
  <c r="R42" i="25"/>
  <c r="N78" i="25"/>
  <c r="N76" i="25" s="1"/>
  <c r="R22" i="25"/>
  <c r="S22" i="25"/>
  <c r="P19" i="25"/>
  <c r="Q20" i="25"/>
  <c r="P23" i="25"/>
  <c r="R38" i="25"/>
  <c r="S38" i="25"/>
  <c r="R30" i="26"/>
  <c r="O60" i="26"/>
  <c r="P30" i="26"/>
  <c r="R11" i="25"/>
  <c r="R15" i="25"/>
  <c r="D78" i="25"/>
  <c r="D76" i="25" s="1"/>
  <c r="L17" i="25"/>
  <c r="P17" i="25"/>
  <c r="N19" i="25"/>
  <c r="I23" i="25"/>
  <c r="Q26" i="25"/>
  <c r="H28" i="25"/>
  <c r="L28" i="25"/>
  <c r="M61" i="25"/>
  <c r="R32" i="25"/>
  <c r="R34" i="25"/>
  <c r="R35" i="25"/>
  <c r="R43" i="25"/>
  <c r="R44" i="25"/>
  <c r="J61" i="25"/>
  <c r="Q17" i="26"/>
  <c r="P17" i="26"/>
  <c r="N74" i="26"/>
  <c r="N72" i="26" s="1"/>
  <c r="J63" i="26"/>
  <c r="S63" i="26"/>
  <c r="O68" i="26"/>
  <c r="Q69" i="25"/>
  <c r="S69" i="25"/>
  <c r="Q7" i="25"/>
  <c r="I8" i="25"/>
  <c r="R7" i="25"/>
  <c r="J8" i="25"/>
  <c r="I17" i="25"/>
  <c r="O19" i="25"/>
  <c r="R26" i="25"/>
  <c r="P30" i="25"/>
  <c r="P50" i="25"/>
  <c r="I61" i="25"/>
  <c r="H64" i="25"/>
  <c r="K64" i="25"/>
  <c r="S66" i="25"/>
  <c r="Q66" i="25"/>
  <c r="R69" i="25"/>
  <c r="Q75" i="25"/>
  <c r="S75" i="25"/>
  <c r="I17" i="26"/>
  <c r="R17" i="26"/>
  <c r="R19" i="26"/>
  <c r="Q19" i="26"/>
  <c r="P19" i="26"/>
  <c r="O23" i="26"/>
  <c r="I60" i="26"/>
  <c r="J73" i="26"/>
  <c r="O78" i="25"/>
  <c r="O76" i="25" s="1"/>
  <c r="Q28" i="26"/>
  <c r="P28" i="26"/>
  <c r="K8" i="25"/>
  <c r="R54" i="25"/>
  <c r="R68" i="25"/>
  <c r="I23" i="26"/>
  <c r="R34" i="26"/>
  <c r="Q34" i="26"/>
  <c r="P34" i="26"/>
  <c r="R38" i="26"/>
  <c r="Q38" i="26"/>
  <c r="P38" i="26"/>
  <c r="R42" i="26"/>
  <c r="Q42" i="26"/>
  <c r="P42" i="26"/>
  <c r="R46" i="26"/>
  <c r="Q46" i="26"/>
  <c r="P46" i="26"/>
  <c r="R51" i="26"/>
  <c r="Q51" i="26"/>
  <c r="P51" i="26"/>
  <c r="T63" i="26"/>
  <c r="K69" i="25"/>
  <c r="S71" i="25"/>
  <c r="H72" i="25"/>
  <c r="P72" i="25"/>
  <c r="R74" i="25"/>
  <c r="H77" i="25"/>
  <c r="H23" i="26"/>
  <c r="Q25" i="26"/>
  <c r="Q26" i="26"/>
  <c r="Q27" i="26"/>
  <c r="Q33" i="26"/>
  <c r="Q37" i="26"/>
  <c r="Q41" i="26"/>
  <c r="Q45" i="26"/>
  <c r="Q50" i="26"/>
  <c r="S68" i="26"/>
  <c r="T68" i="26" s="1"/>
  <c r="Q70" i="26"/>
  <c r="O71" i="26"/>
  <c r="I73" i="26"/>
  <c r="H61" i="25"/>
  <c r="T69" i="25"/>
  <c r="U69" i="25" s="1"/>
  <c r="I72" i="25"/>
  <c r="S74" i="25"/>
  <c r="H75" i="25"/>
  <c r="H17" i="26"/>
  <c r="H28" i="26"/>
  <c r="H60" i="26"/>
  <c r="R62" i="26"/>
  <c r="H68" i="26"/>
  <c r="E74" i="26"/>
  <c r="I75" i="27" l="1"/>
  <c r="F78" i="27"/>
  <c r="F76" i="27" s="1"/>
  <c r="K75" i="27"/>
  <c r="Q69" i="27"/>
  <c r="S28" i="27"/>
  <c r="P78" i="27"/>
  <c r="S78" i="27" s="1"/>
  <c r="Q28" i="27"/>
  <c r="J72" i="27"/>
  <c r="I72" i="27"/>
  <c r="K72" i="27"/>
  <c r="J78" i="27"/>
  <c r="I78" i="27"/>
  <c r="E76" i="27"/>
  <c r="Q71" i="26"/>
  <c r="P71" i="26"/>
  <c r="R71" i="26"/>
  <c r="R23" i="26"/>
  <c r="Q23" i="26"/>
  <c r="P23" i="26"/>
  <c r="P61" i="25"/>
  <c r="Q30" i="25"/>
  <c r="R17" i="25"/>
  <c r="Q17" i="25"/>
  <c r="S17" i="25"/>
  <c r="Q19" i="25"/>
  <c r="S19" i="25"/>
  <c r="R19" i="25"/>
  <c r="R28" i="25"/>
  <c r="Q28" i="25"/>
  <c r="S28" i="25"/>
  <c r="J78" i="25"/>
  <c r="J74" i="26"/>
  <c r="I74" i="26"/>
  <c r="H74" i="26"/>
  <c r="E72" i="26"/>
  <c r="R72" i="25"/>
  <c r="Q72" i="25"/>
  <c r="S72" i="25"/>
  <c r="O74" i="26"/>
  <c r="L78" i="25"/>
  <c r="L76" i="25" s="1"/>
  <c r="K78" i="25"/>
  <c r="S50" i="25"/>
  <c r="R50" i="25"/>
  <c r="H76" i="25"/>
  <c r="K76" i="25"/>
  <c r="J76" i="25"/>
  <c r="I76" i="25"/>
  <c r="Q68" i="26"/>
  <c r="P68" i="26"/>
  <c r="R68" i="26"/>
  <c r="Q60" i="26"/>
  <c r="P60" i="26"/>
  <c r="R60" i="26"/>
  <c r="S23" i="25"/>
  <c r="R23" i="25"/>
  <c r="Q23" i="25"/>
  <c r="I78" i="25"/>
  <c r="H78" i="25"/>
  <c r="K78" i="27" l="1"/>
  <c r="P76" i="27"/>
  <c r="Q76" i="27" s="1"/>
  <c r="R78" i="27"/>
  <c r="Q78" i="27"/>
  <c r="I76" i="27"/>
  <c r="K76" i="27"/>
  <c r="J76" i="27"/>
  <c r="R74" i="26"/>
  <c r="Q74" i="26"/>
  <c r="O72" i="26"/>
  <c r="P74" i="26"/>
  <c r="H72" i="26"/>
  <c r="J72" i="26"/>
  <c r="I72" i="26"/>
  <c r="Q61" i="25"/>
  <c r="S61" i="25"/>
  <c r="R61" i="25"/>
  <c r="P78" i="25"/>
  <c r="R76" i="27" l="1"/>
  <c r="S76" i="27"/>
  <c r="P76" i="25"/>
  <c r="S78" i="25"/>
  <c r="R78" i="25"/>
  <c r="Q78" i="25"/>
  <c r="P72" i="26"/>
  <c r="R72" i="26"/>
  <c r="Q72" i="26"/>
  <c r="S76" i="25" l="1"/>
  <c r="R76" i="25"/>
  <c r="Q76" i="25"/>
</calcChain>
</file>

<file path=xl/sharedStrings.xml><?xml version="1.0" encoding="utf-8"?>
<sst xmlns="http://schemas.openxmlformats.org/spreadsheetml/2006/main" count="344" uniqueCount="151">
  <si>
    <t>สำนักวิชา/หลักสูตร</t>
  </si>
  <si>
    <t>1. วิทยาศาสตร์</t>
  </si>
  <si>
    <t>1) วิทยาศาสตร์การกีฬา</t>
  </si>
  <si>
    <t>รวมสำนักวิชาวิทยาศาสตร์</t>
  </si>
  <si>
    <t xml:space="preserve">2. เทคโนโลยีสังคม  </t>
  </si>
  <si>
    <t>รวมสำนักวิชาเทคโนโลยีสังคม</t>
  </si>
  <si>
    <t>3. เทคโนโลยีการเกษตร</t>
  </si>
  <si>
    <t>1) เทคโนโลยีการผลิตพืช</t>
  </si>
  <si>
    <t>2) เทคโนโลยีการผลิตสัตว์</t>
  </si>
  <si>
    <t>3) เทคโนโลยีอาหาร</t>
  </si>
  <si>
    <t>รวมสำนักวิชาเทคโนโลยีการเกษตร</t>
  </si>
  <si>
    <t>4. วิศวกรรมศาสตร์</t>
  </si>
  <si>
    <t>รวมสำนักวิชาวิศวกรรมศาสตร์</t>
  </si>
  <si>
    <t>5. แพทยศาสตร์</t>
  </si>
  <si>
    <t>รวมสำนักวิชาแพทยศาสตร์</t>
  </si>
  <si>
    <t>6. พยาบาลศาสตร์</t>
  </si>
  <si>
    <t>1) พยาบาลศาสตร์</t>
  </si>
  <si>
    <t>รวมสำนักวิชาพยาบาลศาสตร์</t>
  </si>
  <si>
    <t xml:space="preserve"> ภาพรวมระดับปริญญาตรี</t>
  </si>
  <si>
    <t>รวม
(5)</t>
  </si>
  <si>
    <t>ร้อยละของนักศึกษาที่สำเร็จการศึกษา
ภายในระยะเวลา (ภายใน 4 ปี)</t>
  </si>
  <si>
    <t>ร้อยละของนักศึกษา
ที่พ้นสถานภาพ</t>
  </si>
  <si>
    <t>2) วิทยาการสารสนเทศ</t>
  </si>
  <si>
    <t>3) การจัดการ</t>
  </si>
  <si>
    <t>1) ยังไม่สังกัดหลักสูตร-เทคโนโลยีสารสนเทศ</t>
  </si>
  <si>
    <t>รวมหลักสูตรระดับปริญญาตรี 4 ปี</t>
  </si>
  <si>
    <t>รวมหลักสูตรระดับปริญญาตรี 6 ปี</t>
  </si>
  <si>
    <t>1
(E)</t>
  </si>
  <si>
    <t>ชั้นปีที่ 4
ขึ้นไป</t>
  </si>
  <si>
    <t xml:space="preserve">(ข้อมูลประกอบตาราง AUN-QA 11-3)  </t>
  </si>
  <si>
    <t>2) วิทยาศาสตรบัณฑิต
      (Honors Program)</t>
  </si>
  <si>
    <t xml:space="preserve">   - ชีววิทยา</t>
  </si>
  <si>
    <t xml:space="preserve">   - คณิตศาสตร์ </t>
  </si>
  <si>
    <t xml:space="preserve">   - ฟิสิกส์</t>
  </si>
  <si>
    <t>ผู้สำเร็จการศึกษา ภายใน 4 ปี Col D+E</t>
  </si>
  <si>
    <t>จำนวนผู้สำเร็จการศึกษา ภายใน 4 ปี Col D+E</t>
  </si>
  <si>
    <t>จำนวนผู้สำเร็จ มีมากกว่าผู้ลงทะเบียน</t>
  </si>
  <si>
    <t>คงเหลือในระบบ = ผู้ลงทะเบียน-ผู้สำเร็จ</t>
  </si>
  <si>
    <t>1) ยังไม่สังกัดสาขา-วิศวกรรมศาสตร์</t>
  </si>
  <si>
    <t xml:space="preserve">               3. *** ยังไม่ถึงเวลาสำเร็จการศึกษา</t>
  </si>
  <si>
    <r>
      <t xml:space="preserve">ปี 1
(1) </t>
    </r>
    <r>
      <rPr>
        <b/>
        <sz val="14"/>
        <color theme="1"/>
        <rFont val="TH SarabunPSK"/>
        <family val="2"/>
      </rPr>
      <t>1/57</t>
    </r>
  </si>
  <si>
    <t>น้อยกว่าตาม
กำหนดเวลา (3)</t>
  </si>
  <si>
    <t>ตามกำหนดเวลา
(4)</t>
  </si>
  <si>
    <t>มากกว่า
กำหนดเวลา</t>
  </si>
  <si>
    <t>จำนวนนักศึกษาที่สำเร็จการศึกษา</t>
  </si>
  <si>
    <t xml:space="preserve">                       โดยอิงตามข้อบังคับ มทส. ว่าด้วยการศึกษาขั้นปริญญาตรี </t>
  </si>
  <si>
    <r>
      <t xml:space="preserve">1) แพทยศาสตร์ </t>
    </r>
    <r>
      <rPr>
        <sz val="14"/>
        <color theme="1"/>
        <rFont val="TH SarabunPSK"/>
        <family val="2"/>
      </rPr>
      <t>(6 ปี) รุ่นปี 2555</t>
    </r>
  </si>
  <si>
    <t>จำนวนนักศึกษา</t>
  </si>
  <si>
    <t xml:space="preserve">หมายเหตุ :  1. * จำนวนนักศึกษาแยกตามชั้นปีที่ 1 และชั้นปีที่ 2 เนื่องจากการรับนักศึกษาของ มทส. บางหลักสูตรรับรวม ยังไม่ได้สังกัดหลักสูตรตั้งแต่แรกเข้า ได้แก่ </t>
  </si>
  <si>
    <t xml:space="preserve">   - วิทยาศาสตรบัณฑิตที่จัดการศึกษาแบบก้าวหน้า</t>
  </si>
  <si>
    <t xml:space="preserve">   - เคมี (หลักสูตรก้าวหน้า)</t>
  </si>
  <si>
    <t xml:space="preserve">   - ชีววิทยา (หลักสูตรก้าวหน้า)</t>
  </si>
  <si>
    <t xml:space="preserve">   - คณิตศาสตร์ (หลักสูตรก้าวหน้า)</t>
  </si>
  <si>
    <t xml:space="preserve">   - ฟิสิกส์ (หลักสูตรก้าวหน้า)</t>
  </si>
  <si>
    <r>
      <t xml:space="preserve">ปี 2
(2) </t>
    </r>
    <r>
      <rPr>
        <b/>
        <sz val="14"/>
        <color theme="1"/>
        <rFont val="TH SarabunPSK"/>
        <family val="2"/>
      </rPr>
      <t>1/58</t>
    </r>
  </si>
  <si>
    <t>สาธารณสุขศาสตร์</t>
  </si>
  <si>
    <t>1) ยังไม่สังกัดหลักสูตร-สาธารณสุขศาสตร์</t>
  </si>
  <si>
    <t>2) อาชีวอนามัยและความปลอดภัย</t>
  </si>
  <si>
    <t>3) อนามัยสิ่งแวดล้อม</t>
  </si>
  <si>
    <t>รวมสำนักวิชาสาธารณสุขศาสตร์</t>
  </si>
  <si>
    <t>2) วิศวกรรมการผลิต (หลักสูตรก้าวหน้า)</t>
  </si>
  <si>
    <t>3) วิศวกรรมการผลิต</t>
  </si>
  <si>
    <t>4) วิศวกรรมเกษตรและอาหาร</t>
  </si>
  <si>
    <t>5) วิศวกรรมขนส่งและโลจิสติกส์</t>
  </si>
  <si>
    <t>6) วิศวกรรมคอมพิวเตอร์</t>
  </si>
  <si>
    <t>7) วิศวกรรมเคมี</t>
  </si>
  <si>
    <t>8) วิศวกรรมเครื่องกล</t>
  </si>
  <si>
    <t>9) วิศวกรรมเซรามิก</t>
  </si>
  <si>
    <t>10) วิศวกรรมโทรคมนาคม</t>
  </si>
  <si>
    <t>11) วิศวกรรมพอลิเมอร์</t>
  </si>
  <si>
    <t>12) วิศวกรรมไฟฟ้า</t>
  </si>
  <si>
    <t>13) วิศวกรรมโยธา</t>
  </si>
  <si>
    <t>14) วิศวกรรมโลหการ</t>
  </si>
  <si>
    <t>15) วิศวกรรมสิ่งแวดล้อม</t>
  </si>
  <si>
    <t>16) วิศวกรรมอุตสาหการ</t>
  </si>
  <si>
    <t>17) เทคโนโลยีธรณี</t>
  </si>
  <si>
    <r>
      <t xml:space="preserve">18) </t>
    </r>
    <r>
      <rPr>
        <sz val="14"/>
        <color theme="1"/>
        <rFont val="TH SarabunPSK"/>
        <family val="2"/>
      </rPr>
      <t>วิศวกรรมอิเล็กทรอนิกส์ (หลักสูตรก้าวหน้า)</t>
    </r>
  </si>
  <si>
    <t>19) วิศวกรรมอิเล็กทรอนิกส์</t>
  </si>
  <si>
    <t>20) วิศวกรรมยานยนต์</t>
  </si>
  <si>
    <t>21) วิศวกรรมเมคคาทรอนิกส์</t>
  </si>
  <si>
    <t>22) วิศวกรรมอากาศยาน</t>
  </si>
  <si>
    <t>23) วิศวกรรมธรณี</t>
  </si>
  <si>
    <t>24) วิศวกรรมการออกแบบผลิตภัณฑ์</t>
  </si>
  <si>
    <t>25) วิศวกรรมเครื่องมือ</t>
  </si>
  <si>
    <t>26) วิศวกรรมการผลิตอัตโนมัติและหุ่นยนต์</t>
  </si>
  <si>
    <t>27) วิศวกรรมเครื่องกล นานาชาติ</t>
  </si>
  <si>
    <t>28) วิศวกรรมนวัตกรรมและการออกแบบวัสดุ นานาชาติ</t>
  </si>
  <si>
    <t>29) วิศวกรรมโยธา(หลักสูตรแบบก้าวหน้า)</t>
  </si>
  <si>
    <t>30) วิศวกรรมปิโตรเคมีและพอลิเมอร์ นานาชาติ</t>
  </si>
  <si>
    <t>จำนวนนักศึกษาสุทธิของหลักสูตร (Z)</t>
  </si>
  <si>
    <r>
      <rPr>
        <b/>
        <sz val="16"/>
        <color theme="1"/>
        <rFont val="TH SarabunPSK"/>
        <family val="2"/>
      </rPr>
      <t>(C)</t>
    </r>
    <r>
      <rPr>
        <b/>
        <sz val="12"/>
        <color theme="1"/>
        <rFont val="TH SarabunPSK"/>
        <family val="2"/>
      </rPr>
      <t xml:space="preserve">
เทียบกับ
นศ. ปี 1
(5)/(1)</t>
    </r>
  </si>
  <si>
    <r>
      <rPr>
        <b/>
        <sz val="16"/>
        <color theme="1"/>
        <rFont val="TH SarabunPSK"/>
        <family val="2"/>
      </rPr>
      <t>(D)</t>
    </r>
    <r>
      <rPr>
        <b/>
        <sz val="12"/>
        <color theme="1"/>
        <rFont val="TH SarabunPSK"/>
        <family val="2"/>
      </rPr>
      <t xml:space="preserve">
เทียบกับ
นศ. ปี 2
(5-E)/(2)</t>
    </r>
  </si>
  <si>
    <r>
      <rPr>
        <b/>
        <sz val="16"/>
        <color theme="1"/>
        <rFont val="TH SarabunPSK"/>
        <family val="2"/>
      </rPr>
      <t>(D1)</t>
    </r>
    <r>
      <rPr>
        <b/>
        <sz val="12"/>
        <color theme="1"/>
        <rFont val="TH SarabunPSK"/>
        <family val="2"/>
      </rPr>
      <t xml:space="preserve">
เทียบกับ
นศ. สุทธิ
(5-E)/(Z)</t>
    </r>
  </si>
  <si>
    <r>
      <rPr>
        <b/>
        <sz val="16"/>
        <color theme="1"/>
        <rFont val="TH SarabunPSK"/>
        <family val="2"/>
      </rPr>
      <t>(B1)</t>
    </r>
    <r>
      <rPr>
        <b/>
        <sz val="12"/>
        <color theme="1"/>
        <rFont val="TH SarabunPSK"/>
        <family val="2"/>
      </rPr>
      <t xml:space="preserve">
เทียบกับ
นศ. สุทธิ
(3+4)/(Z)</t>
    </r>
  </si>
  <si>
    <r>
      <rPr>
        <b/>
        <sz val="16"/>
        <color theme="1"/>
        <rFont val="TH SarabunPSK"/>
        <family val="2"/>
      </rPr>
      <t>(B)</t>
    </r>
    <r>
      <rPr>
        <b/>
        <sz val="12"/>
        <color theme="1"/>
        <rFont val="TH SarabunPSK"/>
        <family val="2"/>
      </rPr>
      <t xml:space="preserve">
เทียบกับ
นศ. ปี 2
(3+4)/(2)</t>
    </r>
  </si>
  <si>
    <r>
      <rPr>
        <b/>
        <sz val="16"/>
        <color theme="1"/>
        <rFont val="TH SarabunPSK"/>
        <family val="2"/>
      </rPr>
      <t>(A)</t>
    </r>
    <r>
      <rPr>
        <b/>
        <sz val="12"/>
        <color theme="1"/>
        <rFont val="TH SarabunPSK"/>
        <family val="2"/>
      </rPr>
      <t xml:space="preserve">
เทียบกับ
นศ. ปี 1
(3+4)/(1)</t>
    </r>
  </si>
  <si>
    <t xml:space="preserve">     วิทยาการสารสนเทศ (หลักสูตรก้าวหน้า)</t>
  </si>
  <si>
    <t xml:space="preserve">                    หลักสูตรก้าวหน้าของสำนักวิชาวิทยาศาสตร์ และหลักสูตรของสำนักวิชาวิศวกรรมศาสตร์   ดังนั้น หากหลักสูตรใดสังกัดหลักสูตรตั้งแต่ชั้นปีที่ 1 ให้เลือก</t>
  </si>
  <si>
    <t xml:space="preserve">                    ใช้ข้อมูลร้อยละใน Column A และ C ส่วนหลักสูตรใดสังกัดหลักสูตร ชั้นปีที่ 2 ให้ใช้ร้อยละใน Column  B และ D หรือจะใช้ร้อยละ Column B1 และ D1 เทียบกับนักศึกษาสุทธิของหลักสูตร</t>
  </si>
  <si>
    <t>0.00</t>
  </si>
  <si>
    <t xml:space="preserve">(ข้อมูลประกอบตาราง AUN-QA C.1-4-1)  </t>
  </si>
  <si>
    <t>จำนวนนักศึกษาที่สำเร็จการศึกษา**</t>
  </si>
  <si>
    <r>
      <t xml:space="preserve">ปี 1
(1) </t>
    </r>
    <r>
      <rPr>
        <b/>
        <sz val="14"/>
        <rFont val="TH SarabunPSK"/>
        <family val="2"/>
      </rPr>
      <t>1/58</t>
    </r>
  </si>
  <si>
    <r>
      <t xml:space="preserve">ปี 2
(2) </t>
    </r>
    <r>
      <rPr>
        <b/>
        <sz val="14"/>
        <rFont val="TH SarabunPSK"/>
        <family val="2"/>
      </rPr>
      <t>1/59</t>
    </r>
  </si>
  <si>
    <t>มากกว่า
กำหนดเวลา
***</t>
  </si>
  <si>
    <t>รวม (ภายในกำหนดเวลา) (5) = (3)+(4))</t>
  </si>
  <si>
    <r>
      <rPr>
        <b/>
        <sz val="16"/>
        <rFont val="TH SarabunPSK"/>
        <family val="2"/>
      </rPr>
      <t>(A)</t>
    </r>
    <r>
      <rPr>
        <b/>
        <sz val="12"/>
        <rFont val="TH SarabunPSK"/>
        <family val="2"/>
      </rPr>
      <t xml:space="preserve">
เทียบกับ
นศ. ปี 1
</t>
    </r>
    <r>
      <rPr>
        <b/>
        <sz val="14"/>
        <rFont val="TH SarabunPSK"/>
        <family val="2"/>
      </rPr>
      <t>(5)/(1)</t>
    </r>
  </si>
  <si>
    <r>
      <rPr>
        <b/>
        <sz val="16"/>
        <rFont val="TH SarabunPSK"/>
        <family val="2"/>
      </rPr>
      <t>(B)</t>
    </r>
    <r>
      <rPr>
        <b/>
        <sz val="12"/>
        <rFont val="TH SarabunPSK"/>
        <family val="2"/>
      </rPr>
      <t xml:space="preserve">
เทียบกับ
นศ. ปี 2
</t>
    </r>
    <r>
      <rPr>
        <b/>
        <sz val="14"/>
        <rFont val="TH SarabunPSK"/>
        <family val="2"/>
      </rPr>
      <t>(5)/(2)</t>
    </r>
  </si>
  <si>
    <r>
      <rPr>
        <b/>
        <sz val="16"/>
        <rFont val="TH SarabunPSK"/>
        <family val="2"/>
      </rPr>
      <t>(B1)</t>
    </r>
    <r>
      <rPr>
        <b/>
        <sz val="12"/>
        <rFont val="TH SarabunPSK"/>
        <family val="2"/>
      </rPr>
      <t xml:space="preserve">
เทียบกับ
นศ. สุทธิ
</t>
    </r>
    <r>
      <rPr>
        <b/>
        <sz val="14"/>
        <rFont val="TH SarabunPSK"/>
        <family val="2"/>
      </rPr>
      <t>(5)/(Z)</t>
    </r>
  </si>
  <si>
    <t>รวม
(6)</t>
  </si>
  <si>
    <r>
      <rPr>
        <b/>
        <sz val="16"/>
        <rFont val="TH SarabunPSK"/>
        <family val="2"/>
      </rPr>
      <t>(C)</t>
    </r>
    <r>
      <rPr>
        <b/>
        <sz val="12"/>
        <rFont val="TH SarabunPSK"/>
        <family val="2"/>
      </rPr>
      <t xml:space="preserve">
เทียบกับ
นศ. ปี 1
(6)/(1)</t>
    </r>
  </si>
  <si>
    <r>
      <rPr>
        <b/>
        <sz val="16"/>
        <rFont val="TH SarabunPSK"/>
        <family val="2"/>
      </rPr>
      <t>(D)</t>
    </r>
    <r>
      <rPr>
        <b/>
        <sz val="12"/>
        <rFont val="TH SarabunPSK"/>
        <family val="2"/>
      </rPr>
      <t xml:space="preserve">
เทียบกับ
นศ. ปี 2
(6-E)/(2)</t>
    </r>
  </si>
  <si>
    <r>
      <rPr>
        <b/>
        <sz val="16"/>
        <rFont val="TH SarabunPSK"/>
        <family val="2"/>
      </rPr>
      <t>(D1)</t>
    </r>
    <r>
      <rPr>
        <b/>
        <sz val="12"/>
        <rFont val="TH SarabunPSK"/>
        <family val="2"/>
      </rPr>
      <t xml:space="preserve">
เทียบกับ
นศ. สุทธิ
(6-E)/(Z)</t>
    </r>
  </si>
  <si>
    <t>1) วิทยาการสารสนเทศ</t>
  </si>
  <si>
    <t xml:space="preserve"> - ยังไม่สังกัดหลักสูตร-เทคโนโลยีสารสนเทศ</t>
  </si>
  <si>
    <t>-  วิทยาการสารสนเทศ</t>
  </si>
  <si>
    <t>2) การจัดการ</t>
  </si>
  <si>
    <r>
      <t xml:space="preserve">18) </t>
    </r>
    <r>
      <rPr>
        <sz val="14"/>
        <rFont val="TH SarabunPSK"/>
        <family val="2"/>
      </rPr>
      <t>วิศวกรรมอิเล็กทรอนิกส์ (หลักสูตรก้าวหน้า)</t>
    </r>
  </si>
  <si>
    <t>31) วิศวกรรมปิโตรเลียมและเทคโนโลยีธรณี</t>
  </si>
  <si>
    <t>* รอข้อมูลจากศูนย์บริการการศึกษา</t>
  </si>
  <si>
    <r>
      <t xml:space="preserve">1) แพทยศาสตร์ </t>
    </r>
    <r>
      <rPr>
        <sz val="14"/>
        <rFont val="TH SarabunPSK"/>
        <family val="2"/>
      </rPr>
      <t>(6 ปี) รุ่นปี 2556</t>
    </r>
  </si>
  <si>
    <t>6. สาธารณสุขศาสตร์</t>
  </si>
  <si>
    <t>7. พยาบาลศาสตร์</t>
  </si>
  <si>
    <t>8.ทันตแพทยศาสตร์</t>
  </si>
  <si>
    <t>1) ทันตแพทยศาสตร์</t>
  </si>
  <si>
    <t>รวมสำนักวิชาทันตแพยศาสตร์</t>
  </si>
  <si>
    <t xml:space="preserve">                     โดยอิงตามข้อบังคับ มทส. ว่าด้วยการศึกษาขั้นปริญญาตรี </t>
  </si>
  <si>
    <t xml:space="preserve">               2. ** จำนวนผู้สำเร็จการศึกษา รวมนักศึกษาสำเร็จการศึกษา เสนอสภาวิชาการ ครั้งที่ 8/2562 วันที่ 21 สิงหาคม 2562 แล้ว</t>
  </si>
  <si>
    <t>ข้อมูล ณ วันที่ 27 สิงหาคม 2562</t>
  </si>
  <si>
    <t xml:space="preserve">               2. *** ยังไม่ถึงเวลาสำเร็จการศึกษา</t>
  </si>
  <si>
    <t>ข้อมูล ณ วันที่ 27 สิงหาคม 2561</t>
  </si>
  <si>
    <t xml:space="preserve">ตารางที่ AUN-QA 11.1-1 การคงอยู่และการสำเร็จการศึกษาของนักศึกษาระดับปริญญาตรี  รุ่นปีการศึกษา 2559  (เมื่อสิ้นภาคการศึกษา 3/2562) </t>
  </si>
  <si>
    <r>
      <t xml:space="preserve">                       (ส่วนหลักสูตรแพทยศาสตร์ (6 ปี) เก็บข้อมูลรุ่นปีการศึกษา 2557 จนสิ้นภาคการศึกษาที่ 3/2562) </t>
    </r>
    <r>
      <rPr>
        <b/>
        <sz val="14"/>
        <color theme="1"/>
        <rFont val="TH SarabunPSK"/>
        <family val="2"/>
      </rPr>
      <t xml:space="preserve"> </t>
    </r>
  </si>
  <si>
    <t>*ข้อมูลเปลี่ยนแปลง</t>
  </si>
  <si>
    <r>
      <t xml:space="preserve">ปี 1
(1) </t>
    </r>
    <r>
      <rPr>
        <b/>
        <sz val="14"/>
        <color theme="1"/>
        <rFont val="TH SarabunPSK"/>
        <family val="2"/>
      </rPr>
      <t>1/59</t>
    </r>
  </si>
  <si>
    <r>
      <t xml:space="preserve">ปี 2
(2) </t>
    </r>
    <r>
      <rPr>
        <b/>
        <sz val="14"/>
        <color theme="1"/>
        <rFont val="TH SarabunPSK"/>
        <family val="2"/>
      </rPr>
      <t>1/60</t>
    </r>
  </si>
  <si>
    <r>
      <t>ตารางที่ AUN-QA 11.1-1 การคงอยู่และการสำเร็จการศึกษาของนักศึกษาระดับปริญญาตรี  รุ่นปีการศึกษา 2558  (เมื่อสิ้นภาคการศึกษา 3/</t>
    </r>
    <r>
      <rPr>
        <b/>
        <sz val="18"/>
        <color rgb="FFFF0000"/>
        <rFont val="TH SarabunPSK"/>
        <family val="2"/>
      </rPr>
      <t>2562</t>
    </r>
    <r>
      <rPr>
        <b/>
        <sz val="18"/>
        <rFont val="TH SarabunPSK"/>
        <family val="2"/>
      </rPr>
      <t xml:space="preserve">) </t>
    </r>
  </si>
  <si>
    <r>
      <t>ตารางที่ C.1-4-1 การคงอยู่และการสำเร็จการศึกษาของนักศึกษาระดับปริญญาตรี  รุ่นปีการศึกษา 2557  (เมื่อสิ้นภาคการศึกษา</t>
    </r>
    <r>
      <rPr>
        <b/>
        <sz val="18"/>
        <color rgb="FFFF0000"/>
        <rFont val="TH SarabunPSK"/>
        <family val="2"/>
      </rPr>
      <t xml:space="preserve"> 3/2562</t>
    </r>
    <r>
      <rPr>
        <b/>
        <sz val="18"/>
        <color theme="1"/>
        <rFont val="TH SarabunPSK"/>
        <family val="2"/>
      </rPr>
      <t xml:space="preserve">) </t>
    </r>
  </si>
  <si>
    <r>
      <t xml:space="preserve">                       (ส่วนหลักสูตรแพทยศาสตร์ (6 ปี) เก็บข้อมูลรุ่นปีการศึกษา 2555 จนสิ้นภาคการศึกษาที่ </t>
    </r>
    <r>
      <rPr>
        <b/>
        <sz val="18"/>
        <color rgb="FFFF0000"/>
        <rFont val="TH SarabunPSK"/>
        <family val="2"/>
      </rPr>
      <t>3/2562</t>
    </r>
    <r>
      <rPr>
        <b/>
        <sz val="18"/>
        <color theme="1"/>
        <rFont val="TH SarabunPSK"/>
        <family val="2"/>
      </rPr>
      <t xml:space="preserve">) </t>
    </r>
    <r>
      <rPr>
        <b/>
        <sz val="14"/>
        <color theme="1"/>
        <rFont val="TH SarabunPSK"/>
        <family val="2"/>
      </rPr>
      <t xml:space="preserve"> </t>
    </r>
  </si>
  <si>
    <r>
      <t xml:space="preserve">                       (ส่วนหลักสูตรแพทยศาสตร์ (6 ปี) เก็บข้อมูลรุ่นปีการศึกษา 2556 จนสิ้นภาคการศึกษาที่ </t>
    </r>
    <r>
      <rPr>
        <b/>
        <sz val="18"/>
        <color rgb="FFFF0000"/>
        <rFont val="TH SarabunPSK"/>
        <family val="2"/>
      </rPr>
      <t>3/2562</t>
    </r>
    <r>
      <rPr>
        <b/>
        <sz val="18"/>
        <rFont val="TH SarabunPSK"/>
        <family val="2"/>
      </rPr>
      <t xml:space="preserve">) </t>
    </r>
    <r>
      <rPr>
        <b/>
        <sz val="14"/>
        <rFont val="TH SarabunPSK"/>
        <family val="2"/>
      </rPr>
      <t xml:space="preserve"> </t>
    </r>
  </si>
  <si>
    <t>7. ทันตแพทยศาสตร์</t>
  </si>
  <si>
    <t>อยู่ระหว่าง
ตรวจสอบข้อมูล</t>
  </si>
  <si>
    <t>รวม</t>
  </si>
  <si>
    <t>1) ทันตแพทยศาสตร์ (6 ปี) รุ่นปี 2557</t>
  </si>
  <si>
    <t>รวมสำนักวิชาทันตแพทยศาสตร์</t>
  </si>
  <si>
    <t>ข้อมูล ณ วันที่ 29 สิงหาคม 2563</t>
  </si>
  <si>
    <r>
      <t xml:space="preserve">1) แพทยศาสตร์ </t>
    </r>
    <r>
      <rPr>
        <sz val="14"/>
        <color theme="1"/>
        <rFont val="TH SarabunPSK"/>
        <family val="2"/>
      </rPr>
      <t xml:space="preserve">(6 ปี) </t>
    </r>
    <r>
      <rPr>
        <sz val="14"/>
        <color rgb="FFC00000"/>
        <rFont val="TH SarabunPSK"/>
        <family val="2"/>
      </rPr>
      <t>รุ่นปี 2557</t>
    </r>
  </si>
  <si>
    <t xml:space="preserve">               2. ** จำนวนนักศึกษาแรกเข้าสุทธิของหลักสูตร = นศ.แรกเข้า-โอนเข้า-ย้ายออก</t>
  </si>
  <si>
    <t>จำนวนนักศึกษา*</t>
  </si>
  <si>
    <t>จำนวนนักศึกษาแรกเข้าสุทธิของหลักสูตร** (Z)</t>
  </si>
  <si>
    <t>จำนวนนักศึกษาที่พ้นสถานภาพ***
ในชั้นปีที่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</si>
</sst>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_ ;\-#,##0\ "/>
    <numFmt numFmtId="165" formatCode="#,##0.00_ ;\-#,##0.00\ "/>
    <numFmt numFmtId="166" formatCode="#,##0.00;;\-"/>
    <numFmt numFmtId="167" formatCode="#,##0;;\-"/>
  </numFmts>
  <fonts count="53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5"/>
      <name val="CordiaUPC"/>
      <family val="1"/>
      <charset val="66"/>
    </font>
    <font>
      <b/>
      <sz val="15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8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sz val="13.5"/>
      <color theme="1"/>
      <name val="TH SarabunPSK"/>
      <family val="2"/>
    </font>
    <font>
      <sz val="16"/>
      <color rgb="FF0000FF"/>
      <name val="TH SarabunPSK"/>
      <family val="2"/>
    </font>
    <font>
      <b/>
      <sz val="16"/>
      <color rgb="FF0000FF"/>
      <name val="TH SarabunPSK"/>
      <family val="2"/>
    </font>
    <font>
      <sz val="14"/>
      <name val="AngsanaUPC"/>
      <family val="1"/>
    </font>
    <font>
      <sz val="16"/>
      <color theme="1" tint="0.249977111117893"/>
      <name val="TH SarabunPSK"/>
      <family val="2"/>
    </font>
    <font>
      <sz val="11"/>
      <color theme="0"/>
      <name val="Calibri"/>
      <family val="2"/>
      <charset val="222"/>
      <scheme val="minor"/>
    </font>
    <font>
      <b/>
      <sz val="18"/>
      <color theme="0"/>
      <name val="TH SarabunPSK"/>
      <family val="2"/>
    </font>
    <font>
      <b/>
      <sz val="16"/>
      <color theme="0"/>
      <name val="TH SarabunPSK"/>
      <family val="2"/>
    </font>
    <font>
      <sz val="10"/>
      <color theme="0"/>
      <name val="Times New Roman"/>
      <family val="1"/>
    </font>
    <font>
      <sz val="14"/>
      <color theme="0"/>
      <name val="TH SarabunPSK"/>
      <family val="2"/>
    </font>
    <font>
      <sz val="16"/>
      <color theme="0"/>
      <name val="TH SarabunPSK"/>
      <family val="2"/>
    </font>
    <font>
      <sz val="11"/>
      <color rgb="FFFF0000"/>
      <name val="Calibri"/>
      <family val="2"/>
      <charset val="222"/>
      <scheme val="minor"/>
    </font>
    <font>
      <b/>
      <sz val="1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1"/>
      <color rgb="FF0000FF"/>
      <name val="Calibri"/>
      <family val="2"/>
      <charset val="222"/>
      <scheme val="minor"/>
    </font>
    <font>
      <b/>
      <sz val="15"/>
      <color theme="0"/>
      <name val="TH SarabunPSK"/>
      <family val="2"/>
    </font>
    <font>
      <sz val="15"/>
      <color theme="0"/>
      <name val="TH SarabunPSK"/>
      <family val="2"/>
    </font>
    <font>
      <sz val="15"/>
      <color theme="1"/>
      <name val="Calibri"/>
      <family val="2"/>
      <charset val="222"/>
      <scheme val="minor"/>
    </font>
    <font>
      <sz val="15"/>
      <color rgb="FFC00000"/>
      <name val="TH SarabunPSK"/>
      <family val="2"/>
    </font>
    <font>
      <sz val="16"/>
      <color rgb="FFC0000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5"/>
      <color rgb="FFFF0000"/>
      <name val="TH SarabunPSK"/>
      <family val="2"/>
    </font>
    <font>
      <b/>
      <sz val="15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4"/>
      <color rgb="FF0000FF"/>
      <name val="TH SarabunPSK"/>
      <family val="2"/>
    </font>
    <font>
      <b/>
      <sz val="18"/>
      <color theme="1" tint="0.499984740745262"/>
      <name val="TH SarabunPSK"/>
      <family val="2"/>
    </font>
    <font>
      <sz val="14"/>
      <color rgb="FF0000FF"/>
      <name val="TH SarabunPSK"/>
      <family val="2"/>
    </font>
    <font>
      <b/>
      <sz val="12"/>
      <color rgb="FFC00000"/>
      <name val="TH SarabunPSK"/>
      <family val="2"/>
    </font>
    <font>
      <sz val="14"/>
      <color rgb="FFC0000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FFF2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rgb="FFEDE2F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43" fontId="10" fillId="0" borderId="0" applyFont="0" applyFill="0" applyBorder="0" applyAlignment="0" applyProtection="0"/>
    <xf numFmtId="0" fontId="16" fillId="0" borderId="0"/>
  </cellStyleXfs>
  <cellXfs count="1125">
    <xf numFmtId="0" fontId="0" fillId="0" borderId="0" xfId="0"/>
    <xf numFmtId="0" fontId="1" fillId="0" borderId="7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 indent="1"/>
    </xf>
    <xf numFmtId="0" fontId="2" fillId="0" borderId="9" xfId="0" applyFont="1" applyFill="1" applyBorder="1" applyAlignment="1" applyProtection="1">
      <alignment horizontal="left" vertical="center" indent="1" shrinkToFit="1"/>
    </xf>
    <xf numFmtId="0" fontId="2" fillId="0" borderId="9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left" vertical="center"/>
    </xf>
    <xf numFmtId="0" fontId="2" fillId="0" borderId="16" xfId="0" applyFont="1" applyFill="1" applyBorder="1" applyAlignment="1" applyProtection="1">
      <alignment horizontal="left" vertical="center" indent="1"/>
    </xf>
    <xf numFmtId="0" fontId="2" fillId="0" borderId="21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center" vertical="center" shrinkToFit="1"/>
    </xf>
    <xf numFmtId="0" fontId="2" fillId="0" borderId="27" xfId="0" applyFont="1" applyFill="1" applyBorder="1" applyAlignment="1" applyProtection="1">
      <alignment horizontal="left" vertical="center" indent="1"/>
    </xf>
    <xf numFmtId="0" fontId="2" fillId="0" borderId="23" xfId="0" applyFont="1" applyFill="1" applyBorder="1" applyAlignment="1" applyProtection="1">
      <alignment horizontal="left" vertical="center" indent="1"/>
    </xf>
    <xf numFmtId="0" fontId="1" fillId="2" borderId="25" xfId="0" applyFont="1" applyFill="1" applyBorder="1" applyAlignment="1" applyProtection="1">
      <alignment horizontal="center" vertical="center"/>
    </xf>
    <xf numFmtId="0" fontId="1" fillId="2" borderId="25" xfId="0" applyFont="1" applyFill="1" applyBorder="1" applyAlignment="1" applyProtection="1">
      <alignment horizontal="center" vertical="center" shrinkToFit="1"/>
    </xf>
    <xf numFmtId="0" fontId="1" fillId="0" borderId="13" xfId="0" applyFont="1" applyFill="1" applyBorder="1" applyAlignment="1" applyProtection="1">
      <alignment horizontal="left" vertical="center"/>
    </xf>
    <xf numFmtId="0" fontId="1" fillId="2" borderId="38" xfId="0" applyFont="1" applyFill="1" applyBorder="1" applyAlignment="1" applyProtection="1">
      <alignment horizontal="center" vertical="center"/>
    </xf>
    <xf numFmtId="0" fontId="1" fillId="2" borderId="38" xfId="0" applyFont="1" applyFill="1" applyBorder="1" applyAlignment="1" applyProtection="1">
      <alignment horizontal="center" vertical="center" shrinkToFit="1"/>
    </xf>
    <xf numFmtId="0" fontId="7" fillId="0" borderId="2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1" fillId="2" borderId="48" xfId="0" applyFont="1" applyFill="1" applyBorder="1" applyAlignment="1" applyProtection="1">
      <alignment horizontal="center" vertical="center"/>
    </xf>
    <xf numFmtId="0" fontId="1" fillId="2" borderId="48" xfId="0" applyFont="1" applyFill="1" applyBorder="1" applyAlignment="1" applyProtection="1">
      <alignment horizontal="center" vertical="center" shrinkToFit="1"/>
    </xf>
    <xf numFmtId="0" fontId="3" fillId="0" borderId="3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1" fillId="2" borderId="55" xfId="0" applyFont="1" applyFill="1" applyBorder="1" applyAlignment="1" applyProtection="1">
      <alignment horizontal="center" vertical="center"/>
    </xf>
    <xf numFmtId="0" fontId="1" fillId="2" borderId="55" xfId="0" applyFont="1" applyFill="1" applyBorder="1" applyAlignment="1" applyProtection="1">
      <alignment horizontal="center" vertical="center" shrinkToFit="1"/>
    </xf>
    <xf numFmtId="0" fontId="1" fillId="0" borderId="48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2" fillId="0" borderId="40" xfId="0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 applyProtection="1">
      <alignment horizontal="center" vertical="center"/>
    </xf>
    <xf numFmtId="0" fontId="2" fillId="0" borderId="58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2" fillId="0" borderId="47" xfId="0" applyFont="1" applyFill="1" applyBorder="1" applyAlignment="1" applyProtection="1">
      <alignment horizontal="center" vertical="center" shrinkToFit="1"/>
    </xf>
    <xf numFmtId="0" fontId="2" fillId="0" borderId="59" xfId="0" applyFont="1" applyFill="1" applyBorder="1" applyAlignment="1" applyProtection="1">
      <alignment horizontal="center" vertical="center" shrinkToFit="1"/>
    </xf>
    <xf numFmtId="0" fontId="2" fillId="0" borderId="47" xfId="0" applyFont="1" applyFill="1" applyBorder="1" applyAlignment="1" applyProtection="1">
      <alignment horizontal="center" vertical="center"/>
    </xf>
    <xf numFmtId="0" fontId="2" fillId="0" borderId="59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horizontal="center" vertical="center"/>
    </xf>
    <xf numFmtId="0" fontId="1" fillId="0" borderId="49" xfId="0" applyFont="1" applyFill="1" applyBorder="1" applyAlignment="1" applyProtection="1">
      <alignment horizontal="center" vertical="center"/>
    </xf>
    <xf numFmtId="0" fontId="1" fillId="0" borderId="60" xfId="0" applyFont="1" applyFill="1" applyBorder="1" applyAlignment="1" applyProtection="1">
      <alignment horizontal="center" vertical="center"/>
    </xf>
    <xf numFmtId="0" fontId="1" fillId="0" borderId="3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51" xfId="0" applyFont="1" applyFill="1" applyBorder="1" applyAlignment="1" applyProtection="1">
      <alignment horizontal="center" vertical="center"/>
    </xf>
    <xf numFmtId="0" fontId="2" fillId="0" borderId="62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52" xfId="0" applyFont="1" applyFill="1" applyBorder="1" applyAlignment="1" applyProtection="1">
      <alignment horizontal="center" vertical="center"/>
    </xf>
    <xf numFmtId="0" fontId="1" fillId="0" borderId="63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45" xfId="0" applyFont="1" applyFill="1" applyBorder="1" applyAlignment="1" applyProtection="1">
      <alignment horizontal="center" vertical="center"/>
    </xf>
    <xf numFmtId="0" fontId="2" fillId="0" borderId="57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 shrinkToFit="1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53" xfId="0" applyFont="1" applyFill="1" applyBorder="1" applyAlignment="1" applyProtection="1">
      <alignment horizontal="center" vertical="center"/>
    </xf>
    <xf numFmtId="0" fontId="2" fillId="0" borderId="64" xfId="0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3" borderId="18" xfId="1" applyFont="1" applyFill="1" applyBorder="1" applyAlignment="1" applyProtection="1">
      <alignment horizontal="center" vertical="center"/>
    </xf>
    <xf numFmtId="0" fontId="2" fillId="3" borderId="46" xfId="1" applyFont="1" applyFill="1" applyBorder="1" applyAlignment="1" applyProtection="1">
      <alignment horizontal="center" vertical="center"/>
    </xf>
    <xf numFmtId="0" fontId="2" fillId="3" borderId="58" xfId="1" applyFont="1" applyFill="1" applyBorder="1" applyAlignment="1" applyProtection="1">
      <alignment horizontal="center" vertical="center"/>
    </xf>
    <xf numFmtId="0" fontId="2" fillId="3" borderId="42" xfId="1" applyFont="1" applyFill="1" applyBorder="1" applyAlignment="1" applyProtection="1">
      <alignment horizontal="center" vertical="center"/>
    </xf>
    <xf numFmtId="164" fontId="1" fillId="2" borderId="25" xfId="2" applyNumberFormat="1" applyFont="1" applyFill="1" applyBorder="1" applyAlignment="1" applyProtection="1">
      <alignment horizontal="center" vertical="center"/>
    </xf>
    <xf numFmtId="164" fontId="1" fillId="0" borderId="31" xfId="2" applyNumberFormat="1" applyFont="1" applyFill="1" applyBorder="1" applyAlignment="1" applyProtection="1">
      <alignment horizontal="center" vertical="center"/>
    </xf>
    <xf numFmtId="164" fontId="2" fillId="0" borderId="18" xfId="2" applyNumberFormat="1" applyFont="1" applyFill="1" applyBorder="1" applyAlignment="1" applyProtection="1">
      <alignment horizontal="center" vertical="center"/>
    </xf>
    <xf numFmtId="164" fontId="1" fillId="0" borderId="1" xfId="2" applyNumberFormat="1" applyFont="1" applyFill="1" applyBorder="1" applyAlignment="1" applyProtection="1">
      <alignment horizontal="center" vertical="center"/>
    </xf>
    <xf numFmtId="164" fontId="2" fillId="0" borderId="23" xfId="2" applyNumberFormat="1" applyFont="1" applyFill="1" applyBorder="1" applyAlignment="1" applyProtection="1">
      <alignment horizontal="center" vertical="center"/>
    </xf>
    <xf numFmtId="164" fontId="2" fillId="3" borderId="18" xfId="2" applyNumberFormat="1" applyFont="1" applyFill="1" applyBorder="1" applyAlignment="1" applyProtection="1">
      <alignment horizontal="center" vertical="center"/>
    </xf>
    <xf numFmtId="164" fontId="1" fillId="2" borderId="38" xfId="2" applyNumberFormat="1" applyFont="1" applyFill="1" applyBorder="1" applyAlignment="1" applyProtection="1">
      <alignment horizontal="center" vertical="center"/>
    </xf>
    <xf numFmtId="2" fontId="1" fillId="2" borderId="5" xfId="0" applyNumberFormat="1" applyFont="1" applyFill="1" applyBorder="1" applyAlignment="1" applyProtection="1">
      <alignment horizontal="center" vertical="center"/>
    </xf>
    <xf numFmtId="2" fontId="1" fillId="2" borderId="5" xfId="0" applyNumberFormat="1" applyFont="1" applyFill="1" applyBorder="1" applyAlignment="1" applyProtection="1">
      <alignment horizontal="center" vertical="center" shrinkToFit="1"/>
    </xf>
    <xf numFmtId="2" fontId="2" fillId="0" borderId="12" xfId="0" applyNumberFormat="1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2" fontId="1" fillId="0" borderId="26" xfId="0" applyNumberFormat="1" applyFont="1" applyFill="1" applyBorder="1" applyAlignment="1" applyProtection="1">
      <alignment horizontal="center" vertical="center"/>
    </xf>
    <xf numFmtId="2" fontId="2" fillId="0" borderId="17" xfId="0" applyNumberFormat="1" applyFont="1" applyFill="1" applyBorder="1" applyAlignment="1" applyProtection="1">
      <alignment horizontal="center" vertical="center"/>
    </xf>
    <xf numFmtId="2" fontId="2" fillId="0" borderId="10" xfId="0" applyNumberFormat="1" applyFont="1" applyFill="1" applyBorder="1" applyAlignment="1" applyProtection="1">
      <alignment horizontal="center" vertical="center"/>
    </xf>
    <xf numFmtId="2" fontId="2" fillId="0" borderId="10" xfId="0" applyNumberFormat="1" applyFont="1" applyFill="1" applyBorder="1" applyAlignment="1" applyProtection="1">
      <alignment horizontal="center" vertical="center" shrinkToFit="1"/>
    </xf>
    <xf numFmtId="2" fontId="2" fillId="0" borderId="28" xfId="0" applyNumberFormat="1" applyFont="1" applyFill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/>
    </xf>
    <xf numFmtId="165" fontId="1" fillId="2" borderId="76" xfId="2" applyNumberFormat="1" applyFont="1" applyFill="1" applyBorder="1" applyAlignment="1" applyProtection="1">
      <alignment horizontal="center" vertical="center"/>
    </xf>
    <xf numFmtId="0" fontId="1" fillId="0" borderId="79" xfId="0" applyFont="1" applyFill="1" applyBorder="1" applyAlignment="1" applyProtection="1">
      <alignment horizontal="center" vertical="center"/>
    </xf>
    <xf numFmtId="2" fontId="2" fillId="0" borderId="82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37" xfId="0" quotePrefix="1" applyFont="1" applyBorder="1" applyAlignment="1">
      <alignment horizontal="left" wrapText="1"/>
    </xf>
    <xf numFmtId="0" fontId="1" fillId="0" borderId="0" xfId="0" applyFont="1"/>
    <xf numFmtId="0" fontId="0" fillId="0" borderId="0" xfId="0" applyFont="1"/>
    <xf numFmtId="0" fontId="2" fillId="0" borderId="2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center"/>
    </xf>
    <xf numFmtId="0" fontId="1" fillId="2" borderId="61" xfId="0" applyFont="1" applyFill="1" applyBorder="1" applyAlignment="1" applyProtection="1">
      <alignment horizontal="center" vertical="center"/>
    </xf>
    <xf numFmtId="165" fontId="1" fillId="2" borderId="77" xfId="2" applyNumberFormat="1" applyFont="1" applyFill="1" applyBorder="1" applyAlignment="1" applyProtection="1">
      <alignment horizontal="center" vertical="center"/>
    </xf>
    <xf numFmtId="0" fontId="7" fillId="0" borderId="73" xfId="0" applyFont="1" applyFill="1" applyBorder="1" applyAlignment="1" applyProtection="1">
      <alignment horizontal="left" vertical="center" indent="1" shrinkToFit="1"/>
    </xf>
    <xf numFmtId="0" fontId="5" fillId="0" borderId="55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Font="1" applyAlignment="1">
      <alignment horizontal="center"/>
    </xf>
    <xf numFmtId="0" fontId="6" fillId="0" borderId="0" xfId="0" quotePrefix="1" applyFont="1" applyBorder="1" applyAlignment="1">
      <alignment horizontal="left"/>
    </xf>
    <xf numFmtId="0" fontId="6" fillId="0" borderId="0" xfId="0" quotePrefix="1" applyFont="1" applyBorder="1" applyAlignme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49" fontId="0" fillId="0" borderId="0" xfId="0" applyNumberFormat="1" applyFont="1"/>
    <xf numFmtId="2" fontId="1" fillId="0" borderId="33" xfId="0" applyNumberFormat="1" applyFont="1" applyFill="1" applyBorder="1" applyAlignment="1" applyProtection="1">
      <alignment horizontal="center" vertical="center"/>
    </xf>
    <xf numFmtId="0" fontId="2" fillId="0" borderId="88" xfId="0" applyFont="1" applyFill="1" applyBorder="1" applyAlignment="1" applyProtection="1">
      <alignment horizontal="center" vertical="center"/>
    </xf>
    <xf numFmtId="164" fontId="2" fillId="0" borderId="24" xfId="2" applyNumberFormat="1" applyFont="1" applyFill="1" applyBorder="1" applyAlignment="1" applyProtection="1">
      <alignment horizontal="center" vertical="center"/>
    </xf>
    <xf numFmtId="164" fontId="2" fillId="0" borderId="32" xfId="2" applyNumberFormat="1" applyFont="1" applyFill="1" applyBorder="1" applyAlignment="1" applyProtection="1">
      <alignment horizontal="center" vertical="center"/>
    </xf>
    <xf numFmtId="164" fontId="2" fillId="0" borderId="20" xfId="2" applyNumberFormat="1" applyFont="1" applyFill="1" applyBorder="1" applyAlignment="1" applyProtection="1">
      <alignment horizontal="center" vertical="center"/>
    </xf>
    <xf numFmtId="2" fontId="2" fillId="3" borderId="19" xfId="1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Border="1" applyAlignment="1">
      <alignment horizontal="left" vertical="center"/>
    </xf>
    <xf numFmtId="164" fontId="2" fillId="0" borderId="29" xfId="2" applyNumberFormat="1" applyFont="1" applyFill="1" applyBorder="1" applyAlignment="1" applyProtection="1">
      <alignment horizontal="center" vertical="center"/>
    </xf>
    <xf numFmtId="164" fontId="1" fillId="2" borderId="74" xfId="2" applyNumberFormat="1" applyFont="1" applyFill="1" applyBorder="1" applyAlignment="1" applyProtection="1">
      <alignment horizontal="center" vertical="center"/>
    </xf>
    <xf numFmtId="0" fontId="2" fillId="0" borderId="94" xfId="0" applyFont="1" applyFill="1" applyBorder="1" applyAlignment="1" applyProtection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164" fontId="2" fillId="0" borderId="24" xfId="2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left" vertical="center" wrapText="1" indent="1"/>
    </xf>
    <xf numFmtId="164" fontId="2" fillId="0" borderId="23" xfId="2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164" fontId="1" fillId="2" borderId="55" xfId="2" applyNumberFormat="1" applyFont="1" applyFill="1" applyBorder="1" applyAlignment="1" applyProtection="1">
      <alignment horizontal="center" vertical="center"/>
    </xf>
    <xf numFmtId="2" fontId="2" fillId="4" borderId="0" xfId="0" applyNumberFormat="1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/>
    </xf>
    <xf numFmtId="0" fontId="0" fillId="4" borderId="0" xfId="0" applyFont="1" applyFill="1"/>
    <xf numFmtId="0" fontId="2" fillId="0" borderId="23" xfId="1" applyFont="1" applyFill="1" applyBorder="1" applyAlignment="1" applyProtection="1">
      <alignment horizontal="center" vertical="center"/>
    </xf>
    <xf numFmtId="0" fontId="2" fillId="0" borderId="59" xfId="1" applyFont="1" applyFill="1" applyBorder="1" applyAlignment="1" applyProtection="1">
      <alignment horizontal="center" vertical="center"/>
    </xf>
    <xf numFmtId="0" fontId="2" fillId="0" borderId="47" xfId="1" applyFont="1" applyFill="1" applyBorder="1" applyAlignment="1" applyProtection="1">
      <alignment horizontal="center" vertical="center"/>
    </xf>
    <xf numFmtId="0" fontId="2" fillId="0" borderId="11" xfId="1" applyFont="1" applyFill="1" applyBorder="1" applyAlignment="1" applyProtection="1">
      <alignment horizontal="center" vertical="center"/>
    </xf>
    <xf numFmtId="2" fontId="2" fillId="0" borderId="10" xfId="1" applyNumberFormat="1" applyFont="1" applyFill="1" applyBorder="1" applyAlignment="1" applyProtection="1">
      <alignment horizontal="center" vertical="center"/>
    </xf>
    <xf numFmtId="0" fontId="2" fillId="0" borderId="93" xfId="0" applyFont="1" applyFill="1" applyBorder="1" applyAlignment="1" applyProtection="1">
      <alignment horizontal="left" vertical="center" indent="1"/>
    </xf>
    <xf numFmtId="0" fontId="6" fillId="0" borderId="37" xfId="0" quotePrefix="1" applyFont="1" applyFill="1" applyBorder="1" applyAlignment="1">
      <alignment horizontal="left" wrapText="1"/>
    </xf>
    <xf numFmtId="0" fontId="7" fillId="0" borderId="65" xfId="0" applyFont="1" applyFill="1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Font="1" applyFill="1"/>
    <xf numFmtId="0" fontId="6" fillId="0" borderId="37" xfId="0" quotePrefix="1" applyFont="1" applyBorder="1" applyAlignment="1">
      <alignment horizontal="center" wrapText="1"/>
    </xf>
    <xf numFmtId="0" fontId="13" fillId="0" borderId="9" xfId="0" applyFont="1" applyFill="1" applyBorder="1" applyAlignment="1" applyProtection="1">
      <alignment horizontal="left" vertical="center" indent="1"/>
    </xf>
    <xf numFmtId="0" fontId="1" fillId="2" borderId="95" xfId="0" applyFont="1" applyFill="1" applyBorder="1" applyAlignment="1" applyProtection="1">
      <alignment horizontal="center" vertical="center"/>
    </xf>
    <xf numFmtId="0" fontId="6" fillId="0" borderId="37" xfId="0" quotePrefix="1" applyFont="1" applyBorder="1" applyAlignment="1">
      <alignment horizontal="left" vertical="center"/>
    </xf>
    <xf numFmtId="165" fontId="1" fillId="2" borderId="38" xfId="2" applyNumberFormat="1" applyFont="1" applyFill="1" applyBorder="1" applyAlignment="1" applyProtection="1">
      <alignment horizontal="center" vertical="center"/>
    </xf>
    <xf numFmtId="164" fontId="1" fillId="2" borderId="48" xfId="2" applyNumberFormat="1" applyFont="1" applyFill="1" applyBorder="1" applyAlignment="1" applyProtection="1">
      <alignment horizontal="center" vertical="center"/>
    </xf>
    <xf numFmtId="164" fontId="1" fillId="0" borderId="49" xfId="2" applyNumberFormat="1" applyFont="1" applyFill="1" applyBorder="1" applyAlignment="1" applyProtection="1">
      <alignment horizontal="center" vertical="center"/>
    </xf>
    <xf numFmtId="164" fontId="2" fillId="0" borderId="51" xfId="2" applyNumberFormat="1" applyFont="1" applyFill="1" applyBorder="1" applyAlignment="1" applyProtection="1">
      <alignment horizontal="center" vertical="center"/>
    </xf>
    <xf numFmtId="164" fontId="1" fillId="0" borderId="52" xfId="2" applyNumberFormat="1" applyFont="1" applyFill="1" applyBorder="1" applyAlignment="1" applyProtection="1">
      <alignment horizontal="center" vertical="center"/>
    </xf>
    <xf numFmtId="164" fontId="2" fillId="0" borderId="47" xfId="2" applyNumberFormat="1" applyFont="1" applyFill="1" applyBorder="1" applyAlignment="1" applyProtection="1">
      <alignment horizontal="center" vertical="center"/>
    </xf>
    <xf numFmtId="164" fontId="2" fillId="0" borderId="45" xfId="2" applyNumberFormat="1" applyFont="1" applyFill="1" applyBorder="1" applyAlignment="1" applyProtection="1">
      <alignment horizontal="center" vertical="center"/>
    </xf>
    <xf numFmtId="164" fontId="2" fillId="3" borderId="46" xfId="2" applyNumberFormat="1" applyFont="1" applyFill="1" applyBorder="1" applyAlignment="1" applyProtection="1">
      <alignment horizontal="center" vertical="center"/>
    </xf>
    <xf numFmtId="164" fontId="2" fillId="0" borderId="53" xfId="2" applyNumberFormat="1" applyFont="1" applyFill="1" applyBorder="1" applyAlignment="1" applyProtection="1">
      <alignment horizontal="center" vertical="center"/>
    </xf>
    <xf numFmtId="0" fontId="1" fillId="0" borderId="25" xfId="0" quotePrefix="1" applyFont="1" applyFill="1" applyBorder="1" applyAlignment="1">
      <alignment horizontal="center" vertical="top" wrapText="1"/>
    </xf>
    <xf numFmtId="0" fontId="1" fillId="0" borderId="48" xfId="0" applyFont="1" applyFill="1" applyBorder="1" applyAlignment="1">
      <alignment horizontal="center" vertical="top" wrapText="1"/>
    </xf>
    <xf numFmtId="0" fontId="1" fillId="0" borderId="55" xfId="0" applyFont="1" applyFill="1" applyBorder="1" applyAlignment="1">
      <alignment horizontal="center" vertical="top" wrapText="1"/>
    </xf>
    <xf numFmtId="0" fontId="5" fillId="0" borderId="55" xfId="0" applyFont="1" applyFill="1" applyBorder="1" applyAlignment="1">
      <alignment horizontal="center" vertical="top" wrapText="1"/>
    </xf>
    <xf numFmtId="0" fontId="1" fillId="0" borderId="5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 applyProtection="1">
      <alignment horizontal="left" vertical="center" indent="1"/>
    </xf>
    <xf numFmtId="0" fontId="15" fillId="2" borderId="4" xfId="0" applyFont="1" applyFill="1" applyBorder="1" applyAlignment="1" applyProtection="1">
      <alignment horizontal="center" vertical="center"/>
    </xf>
    <xf numFmtId="0" fontId="15" fillId="2" borderId="38" xfId="0" applyFont="1" applyFill="1" applyBorder="1" applyAlignment="1" applyProtection="1">
      <alignment horizontal="center" vertical="center"/>
    </xf>
    <xf numFmtId="0" fontId="14" fillId="0" borderId="11" xfId="1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horizontal="center" vertical="center"/>
    </xf>
    <xf numFmtId="0" fontId="15" fillId="2" borderId="25" xfId="0" applyFont="1" applyFill="1" applyBorder="1" applyAlignment="1" applyProtection="1">
      <alignment horizontal="center" vertical="center"/>
    </xf>
    <xf numFmtId="2" fontId="15" fillId="2" borderId="17" xfId="0" applyNumberFormat="1" applyFont="1" applyFill="1" applyBorder="1" applyAlignment="1" applyProtection="1">
      <alignment horizontal="center" vertical="center"/>
    </xf>
    <xf numFmtId="2" fontId="2" fillId="0" borderId="77" xfId="0" applyNumberFormat="1" applyFont="1" applyBorder="1" applyAlignment="1">
      <alignment horizontal="center" vertical="center" wrapText="1"/>
    </xf>
    <xf numFmtId="0" fontId="2" fillId="0" borderId="61" xfId="0" applyFont="1" applyFill="1" applyBorder="1" applyAlignment="1" applyProtection="1">
      <alignment horizontal="center" vertical="center"/>
    </xf>
    <xf numFmtId="0" fontId="2" fillId="0" borderId="50" xfId="0" applyFont="1" applyFill="1" applyBorder="1" applyAlignment="1" applyProtection="1">
      <alignment horizontal="center" vertical="center"/>
    </xf>
    <xf numFmtId="164" fontId="2" fillId="0" borderId="50" xfId="2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>
      <alignment wrapText="1"/>
    </xf>
    <xf numFmtId="49" fontId="1" fillId="0" borderId="0" xfId="0" applyNumberFormat="1" applyFont="1" applyBorder="1" applyAlignment="1"/>
    <xf numFmtId="49" fontId="1" fillId="0" borderId="0" xfId="0" applyNumberFormat="1" applyFont="1" applyBorder="1" applyAlignment="1">
      <alignment horizontal="right"/>
    </xf>
    <xf numFmtId="0" fontId="1" fillId="2" borderId="37" xfId="0" applyFont="1" applyFill="1" applyBorder="1" applyAlignment="1" applyProtection="1">
      <alignment horizontal="center" vertical="center"/>
    </xf>
    <xf numFmtId="164" fontId="2" fillId="0" borderId="47" xfId="2" applyNumberFormat="1" applyFont="1" applyBorder="1" applyAlignment="1">
      <alignment horizontal="center" vertical="center"/>
    </xf>
    <xf numFmtId="164" fontId="2" fillId="0" borderId="45" xfId="2" applyNumberFormat="1" applyFont="1" applyBorder="1" applyAlignment="1">
      <alignment horizontal="center" vertical="center"/>
    </xf>
    <xf numFmtId="164" fontId="2" fillId="0" borderId="46" xfId="2" applyNumberFormat="1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 applyProtection="1">
      <alignment horizontal="center" vertical="center"/>
    </xf>
    <xf numFmtId="0" fontId="12" fillId="0" borderId="18" xfId="3" applyFont="1" applyBorder="1" applyAlignment="1">
      <alignment horizontal="left" vertical="center" indent="1"/>
    </xf>
    <xf numFmtId="0" fontId="12" fillId="0" borderId="93" xfId="3" applyFont="1" applyBorder="1" applyAlignment="1">
      <alignment horizontal="left" vertical="center" indent="1"/>
    </xf>
    <xf numFmtId="0" fontId="12" fillId="0" borderId="23" xfId="3" applyFont="1" applyBorder="1" applyAlignment="1">
      <alignment horizontal="left" vertical="center" indent="1"/>
    </xf>
    <xf numFmtId="0" fontId="12" fillId="0" borderId="32" xfId="3" applyFont="1" applyBorder="1" applyAlignment="1">
      <alignment horizontal="left" vertical="center" indent="1"/>
    </xf>
    <xf numFmtId="0" fontId="12" fillId="0" borderId="32" xfId="3" applyFont="1" applyBorder="1" applyAlignment="1">
      <alignment horizontal="left" vertical="center" indent="1" shrinkToFit="1"/>
    </xf>
    <xf numFmtId="2" fontId="2" fillId="0" borderId="84" xfId="0" applyNumberFormat="1" applyFont="1" applyBorder="1" applyAlignment="1">
      <alignment vertical="center" wrapText="1"/>
    </xf>
    <xf numFmtId="2" fontId="2" fillId="0" borderId="82" xfId="0" applyNumberFormat="1" applyFont="1" applyBorder="1" applyAlignment="1">
      <alignment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left" vertical="center" indent="1" shrinkToFit="1"/>
    </xf>
    <xf numFmtId="2" fontId="2" fillId="0" borderId="65" xfId="0" applyNumberFormat="1" applyFont="1" applyBorder="1" applyAlignment="1">
      <alignment horizontal="center" vertical="center" wrapText="1"/>
    </xf>
    <xf numFmtId="0" fontId="1" fillId="0" borderId="8" xfId="0" applyFont="1" applyFill="1" applyBorder="1" applyAlignment="1" applyProtection="1">
      <alignment horizontal="left" vertical="center" indent="1"/>
    </xf>
    <xf numFmtId="164" fontId="1" fillId="2" borderId="76" xfId="2" applyNumberFormat="1" applyFont="1" applyFill="1" applyBorder="1" applyAlignment="1" applyProtection="1">
      <alignment horizontal="center" vertical="center"/>
    </xf>
    <xf numFmtId="164" fontId="2" fillId="3" borderId="24" xfId="2" applyNumberFormat="1" applyFont="1" applyFill="1" applyBorder="1" applyAlignment="1" applyProtection="1">
      <alignment horizontal="center" vertical="center"/>
    </xf>
    <xf numFmtId="164" fontId="2" fillId="3" borderId="45" xfId="2" applyNumberFormat="1" applyFont="1" applyFill="1" applyBorder="1" applyAlignment="1" applyProtection="1">
      <alignment horizontal="center" vertical="center"/>
    </xf>
    <xf numFmtId="0" fontId="2" fillId="3" borderId="0" xfId="1" applyFont="1" applyFill="1" applyBorder="1" applyAlignment="1" applyProtection="1">
      <alignment horizontal="center" vertical="center"/>
    </xf>
    <xf numFmtId="0" fontId="2" fillId="3" borderId="57" xfId="1" applyFont="1" applyFill="1" applyBorder="1" applyAlignment="1" applyProtection="1">
      <alignment horizontal="center" vertical="center"/>
    </xf>
    <xf numFmtId="2" fontId="2" fillId="0" borderId="81" xfId="0" applyNumberFormat="1" applyFont="1" applyBorder="1" applyAlignment="1">
      <alignment horizontal="center" vertical="center" wrapText="1"/>
    </xf>
    <xf numFmtId="0" fontId="2" fillId="3" borderId="24" xfId="1" applyFont="1" applyFill="1" applyBorder="1" applyAlignment="1" applyProtection="1">
      <alignment horizontal="center" vertical="center"/>
    </xf>
    <xf numFmtId="0" fontId="2" fillId="3" borderId="45" xfId="1" applyFont="1" applyFill="1" applyBorder="1" applyAlignment="1" applyProtection="1">
      <alignment horizontal="center" vertical="center"/>
    </xf>
    <xf numFmtId="2" fontId="2" fillId="3" borderId="12" xfId="1" applyNumberFormat="1" applyFont="1" applyFill="1" applyBorder="1" applyAlignment="1" applyProtection="1">
      <alignment horizontal="center" vertical="center"/>
    </xf>
    <xf numFmtId="2" fontId="2" fillId="0" borderId="84" xfId="0" applyNumberFormat="1" applyFont="1" applyBorder="1" applyAlignment="1">
      <alignment horizontal="center" vertical="center" wrapText="1"/>
    </xf>
    <xf numFmtId="164" fontId="1" fillId="2" borderId="6" xfId="2" applyNumberFormat="1" applyFont="1" applyFill="1" applyBorder="1" applyAlignment="1" applyProtection="1">
      <alignment horizontal="center" vertical="center"/>
    </xf>
    <xf numFmtId="165" fontId="1" fillId="2" borderId="105" xfId="2" applyNumberFormat="1" applyFont="1" applyFill="1" applyBorder="1" applyAlignment="1" applyProtection="1">
      <alignment horizontal="center" vertical="center"/>
    </xf>
    <xf numFmtId="164" fontId="1" fillId="2" borderId="5" xfId="2" applyNumberFormat="1" applyFont="1" applyFill="1" applyBorder="1" applyAlignment="1" applyProtection="1">
      <alignment horizontal="center" vertical="center"/>
    </xf>
    <xf numFmtId="2" fontId="2" fillId="0" borderId="41" xfId="0" applyNumberFormat="1" applyFont="1" applyBorder="1" applyAlignment="1">
      <alignment horizontal="center" vertical="center" wrapText="1"/>
    </xf>
    <xf numFmtId="164" fontId="1" fillId="2" borderId="106" xfId="2" applyNumberFormat="1" applyFont="1" applyFill="1" applyBorder="1" applyAlignment="1" applyProtection="1">
      <alignment horizontal="center" vertical="center"/>
    </xf>
    <xf numFmtId="164" fontId="1" fillId="2" borderId="107" xfId="2" applyNumberFormat="1" applyFont="1" applyFill="1" applyBorder="1" applyAlignment="1" applyProtection="1">
      <alignment horizontal="center" vertical="center"/>
    </xf>
    <xf numFmtId="164" fontId="1" fillId="2" borderId="95" xfId="2" applyNumberFormat="1" applyFont="1" applyFill="1" applyBorder="1" applyAlignment="1" applyProtection="1">
      <alignment horizontal="center" vertical="center"/>
    </xf>
    <xf numFmtId="164" fontId="1" fillId="2" borderId="37" xfId="2" applyNumberFormat="1" applyFont="1" applyFill="1" applyBorder="1" applyAlignment="1" applyProtection="1">
      <alignment horizontal="center" vertical="center"/>
    </xf>
    <xf numFmtId="165" fontId="1" fillId="2" borderId="108" xfId="2" applyNumberFormat="1" applyFont="1" applyFill="1" applyBorder="1" applyAlignment="1" applyProtection="1">
      <alignment horizontal="center" vertical="center"/>
    </xf>
    <xf numFmtId="0" fontId="1" fillId="2" borderId="106" xfId="0" applyFont="1" applyFill="1" applyBorder="1" applyAlignment="1" applyProtection="1">
      <alignment horizontal="center" vertical="center"/>
    </xf>
    <xf numFmtId="2" fontId="1" fillId="2" borderId="36" xfId="0" applyNumberFormat="1" applyFont="1" applyFill="1" applyBorder="1" applyAlignment="1" applyProtection="1">
      <alignment horizontal="center" vertical="center"/>
    </xf>
    <xf numFmtId="2" fontId="15" fillId="2" borderId="5" xfId="0" applyNumberFormat="1" applyFont="1" applyFill="1" applyBorder="1" applyAlignment="1" applyProtection="1">
      <alignment horizontal="center" vertical="center"/>
    </xf>
    <xf numFmtId="164" fontId="1" fillId="2" borderId="20" xfId="2" applyNumberFormat="1" applyFont="1" applyFill="1" applyBorder="1" applyAlignment="1" applyProtection="1">
      <alignment horizontal="center" vertical="center"/>
    </xf>
    <xf numFmtId="164" fontId="1" fillId="2" borderId="50" xfId="2" applyNumberFormat="1" applyFont="1" applyFill="1" applyBorder="1" applyAlignment="1" applyProtection="1">
      <alignment horizontal="center" vertical="center"/>
    </xf>
    <xf numFmtId="164" fontId="1" fillId="2" borderId="40" xfId="2" applyNumberFormat="1" applyFont="1" applyFill="1" applyBorder="1" applyAlignment="1" applyProtection="1">
      <alignment horizontal="center" vertical="center"/>
    </xf>
    <xf numFmtId="164" fontId="1" fillId="2" borderId="61" xfId="2" applyNumberFormat="1" applyFont="1" applyFill="1" applyBorder="1" applyAlignment="1" applyProtection="1">
      <alignment horizontal="center" vertical="center"/>
    </xf>
    <xf numFmtId="0" fontId="1" fillId="2" borderId="40" xfId="0" applyFont="1" applyFill="1" applyBorder="1" applyAlignment="1" applyProtection="1">
      <alignment horizontal="center" vertical="center"/>
    </xf>
    <xf numFmtId="0" fontId="15" fillId="2" borderId="56" xfId="0" applyFont="1" applyFill="1" applyBorder="1" applyAlignment="1" applyProtection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7" fillId="0" borderId="111" xfId="0" applyFont="1" applyBorder="1" applyAlignment="1">
      <alignment horizontal="center" vertical="center" wrapText="1"/>
    </xf>
    <xf numFmtId="2" fontId="2" fillId="0" borderId="61" xfId="0" applyNumberFormat="1" applyFont="1" applyBorder="1" applyAlignment="1">
      <alignment horizontal="center" vertical="center" wrapText="1"/>
    </xf>
    <xf numFmtId="2" fontId="2" fillId="0" borderId="59" xfId="0" applyNumberFormat="1" applyFont="1" applyBorder="1" applyAlignment="1">
      <alignment horizontal="center" vertical="center" wrapText="1"/>
    </xf>
    <xf numFmtId="2" fontId="2" fillId="0" borderId="57" xfId="0" applyNumberFormat="1" applyFont="1" applyBorder="1" applyAlignment="1">
      <alignment horizontal="center" vertical="center" wrapText="1"/>
    </xf>
    <xf numFmtId="2" fontId="1" fillId="2" borderId="55" xfId="0" applyNumberFormat="1" applyFont="1" applyFill="1" applyBorder="1" applyAlignment="1" applyProtection="1">
      <alignment horizontal="center" vertical="center"/>
    </xf>
    <xf numFmtId="2" fontId="1" fillId="0" borderId="60" xfId="0" applyNumberFormat="1" applyFont="1" applyFill="1" applyBorder="1" applyAlignment="1" applyProtection="1">
      <alignment horizontal="center" vertical="center"/>
    </xf>
    <xf numFmtId="2" fontId="2" fillId="0" borderId="61" xfId="0" applyNumberFormat="1" applyFont="1" applyFill="1" applyBorder="1" applyAlignment="1" applyProtection="1">
      <alignment horizontal="center" vertical="center"/>
    </xf>
    <xf numFmtId="2" fontId="2" fillId="0" borderId="59" xfId="0" applyNumberFormat="1" applyFont="1" applyFill="1" applyBorder="1" applyAlignment="1" applyProtection="1">
      <alignment horizontal="center" vertical="center"/>
    </xf>
    <xf numFmtId="2" fontId="2" fillId="0" borderId="62" xfId="0" applyNumberFormat="1" applyFont="1" applyFill="1" applyBorder="1" applyAlignment="1" applyProtection="1">
      <alignment horizontal="center" vertical="center"/>
    </xf>
    <xf numFmtId="2" fontId="1" fillId="0" borderId="63" xfId="0" applyNumberFormat="1" applyFont="1" applyFill="1" applyBorder="1" applyAlignment="1" applyProtection="1">
      <alignment horizontal="center" vertical="center"/>
    </xf>
    <xf numFmtId="2" fontId="2" fillId="0" borderId="57" xfId="0" applyNumberFormat="1" applyFont="1" applyFill="1" applyBorder="1" applyAlignment="1" applyProtection="1">
      <alignment horizontal="center" vertical="center"/>
    </xf>
    <xf numFmtId="2" fontId="1" fillId="2" borderId="55" xfId="0" applyNumberFormat="1" applyFont="1" applyFill="1" applyBorder="1" applyAlignment="1" applyProtection="1">
      <alignment horizontal="center" vertical="center" shrinkToFit="1"/>
    </xf>
    <xf numFmtId="2" fontId="2" fillId="3" borderId="58" xfId="1" applyNumberFormat="1" applyFont="1" applyFill="1" applyBorder="1" applyAlignment="1" applyProtection="1">
      <alignment horizontal="center" vertical="center"/>
    </xf>
    <xf numFmtId="2" fontId="2" fillId="3" borderId="57" xfId="1" applyNumberFormat="1" applyFont="1" applyFill="1" applyBorder="1" applyAlignment="1" applyProtection="1">
      <alignment horizontal="center" vertical="center"/>
    </xf>
    <xf numFmtId="2" fontId="2" fillId="0" borderId="59" xfId="1" applyNumberFormat="1" applyFont="1" applyFill="1" applyBorder="1" applyAlignment="1" applyProtection="1">
      <alignment horizontal="center" vertical="center"/>
    </xf>
    <xf numFmtId="2" fontId="2" fillId="0" borderId="59" xfId="0" applyNumberFormat="1" applyFont="1" applyFill="1" applyBorder="1" applyAlignment="1" applyProtection="1">
      <alignment horizontal="center" vertical="center" shrinkToFit="1"/>
    </xf>
    <xf numFmtId="2" fontId="2" fillId="0" borderId="64" xfId="0" applyNumberFormat="1" applyFont="1" applyFill="1" applyBorder="1" applyAlignment="1" applyProtection="1">
      <alignment horizontal="center" vertical="center"/>
    </xf>
    <xf numFmtId="2" fontId="15" fillId="2" borderId="61" xfId="0" applyNumberFormat="1" applyFont="1" applyFill="1" applyBorder="1" applyAlignment="1" applyProtection="1">
      <alignment horizontal="center" vertical="center"/>
    </xf>
    <xf numFmtId="2" fontId="15" fillId="2" borderId="55" xfId="0" applyNumberFormat="1" applyFont="1" applyFill="1" applyBorder="1" applyAlignment="1" applyProtection="1">
      <alignment horizontal="center" vertical="center"/>
    </xf>
    <xf numFmtId="2" fontId="1" fillId="2" borderId="95" xfId="0" applyNumberFormat="1" applyFont="1" applyFill="1" applyBorder="1" applyAlignment="1" applyProtection="1">
      <alignment horizontal="center" vertical="center"/>
    </xf>
    <xf numFmtId="165" fontId="1" fillId="2" borderId="55" xfId="2" applyNumberFormat="1" applyFont="1" applyFill="1" applyBorder="1" applyAlignment="1" applyProtection="1">
      <alignment horizontal="center" vertical="center"/>
    </xf>
    <xf numFmtId="2" fontId="2" fillId="0" borderId="112" xfId="0" applyNumberFormat="1" applyFont="1" applyBorder="1" applyAlignment="1">
      <alignment vertical="center" wrapText="1"/>
    </xf>
    <xf numFmtId="2" fontId="2" fillId="0" borderId="59" xfId="0" applyNumberFormat="1" applyFont="1" applyBorder="1" applyAlignment="1">
      <alignment vertical="center" wrapText="1"/>
    </xf>
    <xf numFmtId="2" fontId="2" fillId="0" borderId="112" xfId="0" applyNumberFormat="1" applyFont="1" applyBorder="1" applyAlignment="1">
      <alignment horizontal="center" vertical="center" wrapText="1"/>
    </xf>
    <xf numFmtId="2" fontId="2" fillId="0" borderId="62" xfId="0" applyNumberFormat="1" applyFont="1" applyBorder="1" applyAlignment="1">
      <alignment horizontal="center" vertical="center" wrapText="1"/>
    </xf>
    <xf numFmtId="165" fontId="1" fillId="2" borderId="61" xfId="2" applyNumberFormat="1" applyFont="1" applyFill="1" applyBorder="1" applyAlignment="1" applyProtection="1">
      <alignment horizontal="center" vertical="center"/>
    </xf>
    <xf numFmtId="165" fontId="1" fillId="2" borderId="95" xfId="2" applyNumberFormat="1" applyFont="1" applyFill="1" applyBorder="1" applyAlignment="1" applyProtection="1">
      <alignment horizontal="center" vertical="center"/>
    </xf>
    <xf numFmtId="0" fontId="3" fillId="4" borderId="80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2" fontId="2" fillId="4" borderId="78" xfId="0" applyNumberFormat="1" applyFont="1" applyFill="1" applyBorder="1" applyAlignment="1">
      <alignment horizontal="center" vertical="center" wrapText="1"/>
    </xf>
    <xf numFmtId="0" fontId="2" fillId="4" borderId="83" xfId="0" applyFont="1" applyFill="1" applyBorder="1" applyAlignment="1">
      <alignment horizontal="center" vertical="center" wrapText="1"/>
    </xf>
    <xf numFmtId="2" fontId="2" fillId="4" borderId="83" xfId="0" applyNumberFormat="1" applyFont="1" applyFill="1" applyBorder="1" applyAlignment="1">
      <alignment horizontal="center" vertical="center" wrapText="1"/>
    </xf>
    <xf numFmtId="2" fontId="2" fillId="4" borderId="109" xfId="0" applyNumberFormat="1" applyFont="1" applyFill="1" applyBorder="1" applyAlignment="1">
      <alignment horizontal="center" vertical="center" wrapText="1"/>
    </xf>
    <xf numFmtId="2" fontId="1" fillId="4" borderId="110" xfId="0" applyNumberFormat="1" applyFont="1" applyFill="1" applyBorder="1" applyAlignment="1" applyProtection="1">
      <alignment horizontal="center" vertical="center"/>
    </xf>
    <xf numFmtId="2" fontId="2" fillId="4" borderId="40" xfId="0" applyNumberFormat="1" applyFont="1" applyFill="1" applyBorder="1" applyAlignment="1" applyProtection="1">
      <alignment horizontal="center" vertical="center"/>
    </xf>
    <xf numFmtId="2" fontId="2" fillId="4" borderId="11" xfId="0" applyNumberFormat="1" applyFont="1" applyFill="1" applyBorder="1" applyAlignment="1" applyProtection="1">
      <alignment horizontal="center" vertical="center"/>
    </xf>
    <xf numFmtId="2" fontId="2" fillId="4" borderId="41" xfId="0" applyNumberFormat="1" applyFont="1" applyFill="1" applyBorder="1" applyAlignment="1" applyProtection="1">
      <alignment horizontal="center" vertical="center"/>
    </xf>
    <xf numFmtId="2" fontId="1" fillId="4" borderId="38" xfId="0" applyNumberFormat="1" applyFont="1" applyFill="1" applyBorder="1" applyAlignment="1" applyProtection="1">
      <alignment horizontal="center" vertical="center"/>
    </xf>
    <xf numFmtId="2" fontId="1" fillId="4" borderId="2" xfId="0" applyNumberFormat="1" applyFont="1" applyFill="1" applyBorder="1" applyAlignment="1" applyProtection="1">
      <alignment horizontal="center" vertical="center"/>
    </xf>
    <xf numFmtId="2" fontId="2" fillId="4" borderId="0" xfId="0" applyNumberFormat="1" applyFont="1" applyFill="1" applyBorder="1" applyAlignment="1" applyProtection="1">
      <alignment horizontal="center" vertical="center"/>
    </xf>
    <xf numFmtId="2" fontId="1" fillId="4" borderId="38" xfId="0" applyNumberFormat="1" applyFont="1" applyFill="1" applyBorder="1" applyAlignment="1" applyProtection="1">
      <alignment horizontal="center" vertical="center" shrinkToFit="1"/>
    </xf>
    <xf numFmtId="2" fontId="2" fillId="4" borderId="42" xfId="1" applyNumberFormat="1" applyFont="1" applyFill="1" applyBorder="1" applyAlignment="1" applyProtection="1">
      <alignment horizontal="center" vertical="center"/>
    </xf>
    <xf numFmtId="2" fontId="2" fillId="4" borderId="0" xfId="1" applyNumberFormat="1" applyFont="1" applyFill="1" applyBorder="1" applyAlignment="1" applyProtection="1">
      <alignment horizontal="center" vertical="center"/>
    </xf>
    <xf numFmtId="2" fontId="2" fillId="4" borderId="11" xfId="1" applyNumberFormat="1" applyFont="1" applyFill="1" applyBorder="1" applyAlignment="1" applyProtection="1">
      <alignment horizontal="center" vertical="center"/>
    </xf>
    <xf numFmtId="2" fontId="2" fillId="4" borderId="11" xfId="0" applyNumberFormat="1" applyFont="1" applyFill="1" applyBorder="1" applyAlignment="1" applyProtection="1">
      <alignment horizontal="center" vertical="center" shrinkToFit="1"/>
    </xf>
    <xf numFmtId="2" fontId="2" fillId="4" borderId="35" xfId="0" applyNumberFormat="1" applyFont="1" applyFill="1" applyBorder="1" applyAlignment="1" applyProtection="1">
      <alignment horizontal="center" vertical="center"/>
    </xf>
    <xf numFmtId="2" fontId="15" fillId="4" borderId="40" xfId="0" applyNumberFormat="1" applyFont="1" applyFill="1" applyBorder="1" applyAlignment="1" applyProtection="1">
      <alignment horizontal="center" vertical="center"/>
    </xf>
    <xf numFmtId="2" fontId="15" fillId="4" borderId="38" xfId="0" applyNumberFormat="1" applyFont="1" applyFill="1" applyBorder="1" applyAlignment="1" applyProtection="1">
      <alignment horizontal="center" vertical="center"/>
    </xf>
    <xf numFmtId="2" fontId="1" fillId="4" borderId="37" xfId="0" applyNumberFormat="1" applyFont="1" applyFill="1" applyBorder="1" applyAlignment="1" applyProtection="1">
      <alignment horizontal="center" vertical="center"/>
    </xf>
    <xf numFmtId="2" fontId="1" fillId="4" borderId="78" xfId="0" applyNumberFormat="1" applyFont="1" applyFill="1" applyBorder="1" applyAlignment="1">
      <alignment horizontal="center" vertical="center" wrapText="1"/>
    </xf>
    <xf numFmtId="2" fontId="6" fillId="0" borderId="37" xfId="0" quotePrefix="1" applyNumberFormat="1" applyFont="1" applyBorder="1" applyAlignment="1">
      <alignment horizontal="left" wrapText="1"/>
    </xf>
    <xf numFmtId="2" fontId="3" fillId="4" borderId="80" xfId="0" applyNumberFormat="1" applyFont="1" applyFill="1" applyBorder="1" applyAlignment="1">
      <alignment horizontal="center" vertical="center" wrapText="1"/>
    </xf>
    <xf numFmtId="2" fontId="7" fillId="4" borderId="44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2" fontId="1" fillId="0" borderId="0" xfId="0" applyNumberFormat="1" applyFont="1" applyBorder="1" applyAlignment="1">
      <alignment wrapText="1"/>
    </xf>
    <xf numFmtId="2" fontId="0" fillId="0" borderId="0" xfId="0" applyNumberFormat="1" applyFont="1"/>
    <xf numFmtId="2" fontId="2" fillId="4" borderId="83" xfId="0" applyNumberFormat="1" applyFont="1" applyFill="1" applyBorder="1" applyAlignment="1" applyProtection="1">
      <alignment horizontal="center" vertical="center"/>
    </xf>
    <xf numFmtId="2" fontId="2" fillId="4" borderId="113" xfId="0" applyNumberFormat="1" applyFont="1" applyFill="1" applyBorder="1" applyAlignment="1" applyProtection="1">
      <alignment horizontal="center" vertical="center"/>
    </xf>
    <xf numFmtId="2" fontId="1" fillId="4" borderId="80" xfId="0" applyNumberFormat="1" applyFont="1" applyFill="1" applyBorder="1" applyAlignment="1" applyProtection="1">
      <alignment horizontal="center" vertical="center"/>
    </xf>
    <xf numFmtId="2" fontId="1" fillId="4" borderId="3" xfId="0" applyNumberFormat="1" applyFont="1" applyFill="1" applyBorder="1" applyAlignment="1" applyProtection="1">
      <alignment horizontal="center" vertical="center"/>
    </xf>
    <xf numFmtId="2" fontId="2" fillId="4" borderId="78" xfId="0" applyNumberFormat="1" applyFont="1" applyFill="1" applyBorder="1" applyAlignment="1" applyProtection="1">
      <alignment horizontal="center" vertical="center"/>
    </xf>
    <xf numFmtId="2" fontId="2" fillId="4" borderId="109" xfId="0" applyNumberFormat="1" applyFont="1" applyFill="1" applyBorder="1" applyAlignment="1" applyProtection="1">
      <alignment horizontal="center" vertical="center"/>
    </xf>
    <xf numFmtId="2" fontId="1" fillId="4" borderId="80" xfId="0" applyNumberFormat="1" applyFont="1" applyFill="1" applyBorder="1" applyAlignment="1" applyProtection="1">
      <alignment horizontal="center" vertical="center" shrinkToFit="1"/>
    </xf>
    <xf numFmtId="2" fontId="2" fillId="4" borderId="114" xfId="1" applyNumberFormat="1" applyFont="1" applyFill="1" applyBorder="1" applyAlignment="1" applyProtection="1">
      <alignment horizontal="center" vertical="center"/>
    </xf>
    <xf numFmtId="2" fontId="2" fillId="4" borderId="109" xfId="1" applyNumberFormat="1" applyFont="1" applyFill="1" applyBorder="1" applyAlignment="1" applyProtection="1">
      <alignment horizontal="center" vertical="center"/>
    </xf>
    <xf numFmtId="2" fontId="2" fillId="4" borderId="83" xfId="1" applyNumberFormat="1" applyFont="1" applyFill="1" applyBorder="1" applyAlignment="1" applyProtection="1">
      <alignment horizontal="center" vertical="center"/>
    </xf>
    <xf numFmtId="0" fontId="1" fillId="4" borderId="80" xfId="0" applyNumberFormat="1" applyFont="1" applyFill="1" applyBorder="1" applyAlignment="1" applyProtection="1">
      <alignment horizontal="center" vertical="center"/>
    </xf>
    <xf numFmtId="2" fontId="17" fillId="4" borderId="83" xfId="1" applyNumberFormat="1" applyFont="1" applyFill="1" applyBorder="1" applyAlignment="1" applyProtection="1">
      <alignment horizontal="center" vertical="center"/>
    </xf>
    <xf numFmtId="49" fontId="17" fillId="4" borderId="83" xfId="1" applyNumberFormat="1" applyFont="1" applyFill="1" applyBorder="1" applyAlignment="1" applyProtection="1">
      <alignment horizontal="center" vertical="center"/>
    </xf>
    <xf numFmtId="2" fontId="2" fillId="4" borderId="115" xfId="0" applyNumberFormat="1" applyFont="1" applyFill="1" applyBorder="1" applyAlignment="1" applyProtection="1">
      <alignment horizontal="center" vertical="center"/>
    </xf>
    <xf numFmtId="2" fontId="15" fillId="4" borderId="78" xfId="0" applyNumberFormat="1" applyFont="1" applyFill="1" applyBorder="1" applyAlignment="1" applyProtection="1">
      <alignment horizontal="center" vertical="center"/>
    </xf>
    <xf numFmtId="2" fontId="15" fillId="4" borderId="80" xfId="0" applyNumberFormat="1" applyFont="1" applyFill="1" applyBorder="1" applyAlignment="1" applyProtection="1">
      <alignment horizontal="center" vertical="center"/>
    </xf>
    <xf numFmtId="2" fontId="1" fillId="4" borderId="116" xfId="0" applyNumberFormat="1" applyFont="1" applyFill="1" applyBorder="1" applyAlignment="1" applyProtection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20" fillId="0" borderId="0" xfId="0" quotePrefix="1" applyFont="1" applyBorder="1" applyAlignment="1">
      <alignment horizont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2" fontId="23" fillId="0" borderId="0" xfId="0" applyNumberFormat="1" applyFont="1" applyBorder="1" applyAlignment="1">
      <alignment horizontal="center" vertical="center" wrapText="1"/>
    </xf>
    <xf numFmtId="2" fontId="20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2" fontId="20" fillId="4" borderId="0" xfId="0" applyNumberFormat="1" applyFont="1" applyFill="1" applyBorder="1" applyAlignment="1">
      <alignment horizontal="center" vertical="center" wrapText="1"/>
    </xf>
    <xf numFmtId="0" fontId="23" fillId="0" borderId="0" xfId="0" applyFont="1"/>
    <xf numFmtId="49" fontId="20" fillId="0" borderId="0" xfId="0" applyNumberFormat="1" applyFont="1" applyBorder="1" applyAlignment="1">
      <alignment horizontal="left"/>
    </xf>
    <xf numFmtId="49" fontId="20" fillId="0" borderId="0" xfId="0" applyNumberFormat="1" applyFont="1" applyBorder="1" applyAlignment="1">
      <alignment horizontal="left" wrapText="1"/>
    </xf>
    <xf numFmtId="0" fontId="20" fillId="0" borderId="0" xfId="0" applyFont="1"/>
    <xf numFmtId="0" fontId="18" fillId="0" borderId="0" xfId="0" applyFont="1"/>
    <xf numFmtId="49" fontId="1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quotePrefix="1" applyFont="1" applyBorder="1" applyAlignment="1">
      <alignment horizontal="left" wrapText="1"/>
    </xf>
    <xf numFmtId="166" fontId="25" fillId="0" borderId="0" xfId="0" applyNumberFormat="1" applyFont="1" applyBorder="1" applyAlignment="1">
      <alignment horizontal="left" vertical="center" wrapText="1"/>
    </xf>
    <xf numFmtId="166" fontId="25" fillId="0" borderId="0" xfId="0" quotePrefix="1" applyNumberFormat="1" applyFont="1" applyBorder="1" applyAlignment="1">
      <alignment horizontal="left" wrapText="1"/>
    </xf>
    <xf numFmtId="0" fontId="25" fillId="0" borderId="37" xfId="0" quotePrefix="1" applyFont="1" applyBorder="1" applyAlignment="1">
      <alignment horizontal="left" vertical="center"/>
    </xf>
    <xf numFmtId="0" fontId="25" fillId="0" borderId="37" xfId="0" quotePrefix="1" applyFont="1" applyBorder="1" applyAlignment="1">
      <alignment horizontal="left" wrapText="1"/>
    </xf>
    <xf numFmtId="0" fontId="25" fillId="0" borderId="37" xfId="0" quotePrefix="1" applyFont="1" applyBorder="1" applyAlignment="1">
      <alignment horizontal="center" wrapText="1"/>
    </xf>
    <xf numFmtId="2" fontId="25" fillId="0" borderId="37" xfId="0" quotePrefix="1" applyNumberFormat="1" applyFont="1" applyBorder="1" applyAlignment="1">
      <alignment horizontal="left" wrapText="1"/>
    </xf>
    <xf numFmtId="0" fontId="25" fillId="0" borderId="37" xfId="0" quotePrefix="1" applyFont="1" applyFill="1" applyBorder="1" applyAlignment="1">
      <alignment horizontal="left" wrapText="1"/>
    </xf>
    <xf numFmtId="166" fontId="25" fillId="0" borderId="37" xfId="0" quotePrefix="1" applyNumberFormat="1" applyFont="1" applyBorder="1" applyAlignment="1">
      <alignment horizontal="left" wrapText="1"/>
    </xf>
    <xf numFmtId="0" fontId="27" fillId="0" borderId="25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8" fillId="0" borderId="55" xfId="0" applyFont="1" applyFill="1" applyBorder="1" applyAlignment="1">
      <alignment horizontal="center" vertical="center" wrapText="1"/>
    </xf>
    <xf numFmtId="0" fontId="26" fillId="6" borderId="48" xfId="0" applyFont="1" applyFill="1" applyBorder="1" applyAlignment="1">
      <alignment horizontal="center" vertical="center" wrapText="1"/>
    </xf>
    <xf numFmtId="0" fontId="29" fillId="0" borderId="106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2" fontId="29" fillId="7" borderId="80" xfId="0" applyNumberFormat="1" applyFont="1" applyFill="1" applyBorder="1" applyAlignment="1">
      <alignment horizontal="center" vertical="center" wrapText="1"/>
    </xf>
    <xf numFmtId="0" fontId="27" fillId="0" borderId="25" xfId="0" quotePrefix="1" applyFont="1" applyFill="1" applyBorder="1" applyAlignment="1">
      <alignment horizontal="center" vertical="top" wrapText="1"/>
    </xf>
    <xf numFmtId="0" fontId="27" fillId="0" borderId="48" xfId="0" applyFont="1" applyFill="1" applyBorder="1" applyAlignment="1">
      <alignment horizontal="center" vertical="top" wrapText="1"/>
    </xf>
    <xf numFmtId="0" fontId="27" fillId="0" borderId="55" xfId="0" applyFont="1" applyFill="1" applyBorder="1" applyAlignment="1">
      <alignment horizontal="center" vertical="top" wrapText="1"/>
    </xf>
    <xf numFmtId="167" fontId="27" fillId="8" borderId="56" xfId="0" applyNumberFormat="1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166" fontId="29" fillId="4" borderId="80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 applyProtection="1">
      <alignment horizontal="left" vertical="center"/>
    </xf>
    <xf numFmtId="0" fontId="30" fillId="0" borderId="24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30" fillId="5" borderId="96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0" fontId="30" fillId="6" borderId="45" xfId="0" applyFont="1" applyFill="1" applyBorder="1" applyAlignment="1">
      <alignment horizontal="center" vertical="center" wrapText="1"/>
    </xf>
    <xf numFmtId="2" fontId="30" fillId="7" borderId="44" xfId="0" applyNumberFormat="1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30" fillId="0" borderId="57" xfId="0" applyFont="1" applyFill="1" applyBorder="1" applyAlignment="1">
      <alignment horizontal="center" vertical="center" wrapText="1"/>
    </xf>
    <xf numFmtId="167" fontId="30" fillId="8" borderId="0" xfId="0" applyNumberFormat="1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11" xfId="0" applyFont="1" applyBorder="1" applyAlignment="1">
      <alignment horizontal="center" vertical="center" wrapText="1"/>
    </xf>
    <xf numFmtId="166" fontId="30" fillId="4" borderId="44" xfId="0" applyNumberFormat="1" applyFont="1" applyFill="1" applyBorder="1" applyAlignment="1">
      <alignment horizontal="center" vertical="center" wrapText="1"/>
    </xf>
    <xf numFmtId="0" fontId="31" fillId="0" borderId="8" xfId="0" applyFont="1" applyFill="1" applyBorder="1" applyAlignment="1" applyProtection="1">
      <alignment horizontal="left" vertical="center" indent="1"/>
    </xf>
    <xf numFmtId="0" fontId="31" fillId="0" borderId="20" xfId="0" applyFont="1" applyBorder="1" applyAlignment="1">
      <alignment horizontal="center" vertical="center" wrapText="1"/>
    </xf>
    <xf numFmtId="0" fontId="31" fillId="0" borderId="117" xfId="0" applyFont="1" applyFill="1" applyBorder="1" applyAlignment="1">
      <alignment horizontal="center" vertical="center" wrapText="1"/>
    </xf>
    <xf numFmtId="0" fontId="31" fillId="5" borderId="97" xfId="0" applyFont="1" applyFill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31" fillId="6" borderId="50" xfId="0" applyFont="1" applyFill="1" applyBorder="1" applyAlignment="1">
      <alignment horizontal="center" vertical="center" wrapText="1"/>
    </xf>
    <xf numFmtId="2" fontId="31" fillId="0" borderId="118" xfId="0" applyNumberFormat="1" applyFont="1" applyBorder="1" applyAlignment="1">
      <alignment horizontal="center" vertical="center" wrapText="1"/>
    </xf>
    <xf numFmtId="2" fontId="31" fillId="0" borderId="61" xfId="0" applyNumberFormat="1" applyFont="1" applyBorder="1" applyAlignment="1">
      <alignment horizontal="center" vertical="center" wrapText="1"/>
    </xf>
    <xf numFmtId="2" fontId="31" fillId="7" borderId="78" xfId="0" applyNumberFormat="1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 wrapText="1"/>
    </xf>
    <xf numFmtId="0" fontId="31" fillId="0" borderId="61" xfId="0" applyFont="1" applyFill="1" applyBorder="1" applyAlignment="1">
      <alignment horizontal="center" vertical="center" wrapText="1"/>
    </xf>
    <xf numFmtId="167" fontId="31" fillId="8" borderId="40" xfId="0" applyNumberFormat="1" applyFont="1" applyFill="1" applyBorder="1" applyAlignment="1">
      <alignment horizontal="center" vertical="center" wrapText="1"/>
    </xf>
    <xf numFmtId="2" fontId="31" fillId="0" borderId="17" xfId="0" applyNumberFormat="1" applyFont="1" applyBorder="1" applyAlignment="1">
      <alignment horizontal="center" vertical="center" wrapText="1"/>
    </xf>
    <xf numFmtId="166" fontId="31" fillId="4" borderId="78" xfId="0" applyNumberFormat="1" applyFont="1" applyFill="1" applyBorder="1" applyAlignment="1">
      <alignment horizontal="center" vertical="center" wrapText="1"/>
    </xf>
    <xf numFmtId="0" fontId="31" fillId="0" borderId="23" xfId="0" applyFont="1" applyFill="1" applyBorder="1" applyAlignment="1" applyProtection="1">
      <alignment horizontal="left" vertical="center" wrapText="1" indent="1"/>
    </xf>
    <xf numFmtId="0" fontId="31" fillId="0" borderId="23" xfId="0" applyFont="1" applyBorder="1" applyAlignment="1">
      <alignment horizontal="center" vertical="center" wrapText="1"/>
    </xf>
    <xf numFmtId="0" fontId="31" fillId="0" borderId="119" xfId="0" applyFont="1" applyFill="1" applyBorder="1" applyAlignment="1">
      <alignment horizontal="center" vertical="center" wrapText="1"/>
    </xf>
    <xf numFmtId="0" fontId="31" fillId="5" borderId="98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1" fillId="6" borderId="47" xfId="0" applyFont="1" applyFill="1" applyBorder="1" applyAlignment="1">
      <alignment horizontal="center" vertical="center" wrapText="1"/>
    </xf>
    <xf numFmtId="2" fontId="31" fillId="0" borderId="120" xfId="0" applyNumberFormat="1" applyFont="1" applyBorder="1" applyAlignment="1">
      <alignment horizontal="center" vertical="center" wrapText="1"/>
    </xf>
    <xf numFmtId="2" fontId="31" fillId="0" borderId="59" xfId="0" applyNumberFormat="1" applyFont="1" applyBorder="1" applyAlignment="1">
      <alignment horizontal="center" vertical="center" wrapText="1"/>
    </xf>
    <xf numFmtId="2" fontId="31" fillId="7" borderId="83" xfId="0" applyNumberFormat="1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31" fillId="0" borderId="59" xfId="0" applyFont="1" applyFill="1" applyBorder="1" applyAlignment="1">
      <alignment horizontal="center" vertical="center" wrapText="1"/>
    </xf>
    <xf numFmtId="167" fontId="31" fillId="8" borderId="11" xfId="0" applyNumberFormat="1" applyFont="1" applyFill="1" applyBorder="1" applyAlignment="1">
      <alignment horizontal="center" vertical="center" wrapText="1"/>
    </xf>
    <xf numFmtId="2" fontId="31" fillId="0" borderId="10" xfId="0" applyNumberFormat="1" applyFont="1" applyBorder="1" applyAlignment="1">
      <alignment horizontal="center" vertical="center" wrapText="1"/>
    </xf>
    <xf numFmtId="166" fontId="31" fillId="4" borderId="83" xfId="0" applyNumberFormat="1" applyFont="1" applyFill="1" applyBorder="1" applyAlignment="1">
      <alignment horizontal="center" vertical="center" wrapText="1"/>
    </xf>
    <xf numFmtId="0" fontId="31" fillId="0" borderId="23" xfId="0" applyFont="1" applyFill="1" applyBorder="1" applyAlignment="1" applyProtection="1">
      <alignment horizontal="left" vertical="center" indent="1" shrinkToFit="1"/>
    </xf>
    <xf numFmtId="0" fontId="32" fillId="0" borderId="23" xfId="0" applyFont="1" applyBorder="1" applyAlignment="1">
      <alignment horizontal="right" vertical="center" wrapText="1"/>
    </xf>
    <xf numFmtId="0" fontId="32" fillId="0" borderId="119" xfId="0" applyFont="1" applyFill="1" applyBorder="1" applyAlignment="1">
      <alignment horizontal="right" vertical="center" wrapText="1"/>
    </xf>
    <xf numFmtId="0" fontId="32" fillId="5" borderId="98" xfId="0" applyFont="1" applyFill="1" applyBorder="1" applyAlignment="1">
      <alignment horizontal="right" vertical="center" wrapText="1"/>
    </xf>
    <xf numFmtId="0" fontId="32" fillId="0" borderId="11" xfId="0" applyFont="1" applyBorder="1" applyAlignment="1">
      <alignment horizontal="right" vertical="center" wrapText="1"/>
    </xf>
    <xf numFmtId="0" fontId="32" fillId="0" borderId="59" xfId="0" applyFont="1" applyBorder="1" applyAlignment="1">
      <alignment horizontal="right" vertical="center" wrapText="1"/>
    </xf>
    <xf numFmtId="0" fontId="32" fillId="6" borderId="47" xfId="0" applyFont="1" applyFill="1" applyBorder="1" applyAlignment="1">
      <alignment horizontal="right" vertical="center" wrapText="1"/>
    </xf>
    <xf numFmtId="2" fontId="32" fillId="0" borderId="120" xfId="0" applyNumberFormat="1" applyFont="1" applyBorder="1" applyAlignment="1">
      <alignment horizontal="right" vertical="center" wrapText="1"/>
    </xf>
    <xf numFmtId="2" fontId="32" fillId="0" borderId="59" xfId="0" applyNumberFormat="1" applyFont="1" applyBorder="1" applyAlignment="1">
      <alignment horizontal="right" vertical="center" wrapText="1"/>
    </xf>
    <xf numFmtId="2" fontId="32" fillId="7" borderId="83" xfId="0" applyNumberFormat="1" applyFont="1" applyFill="1" applyBorder="1" applyAlignment="1">
      <alignment horizontal="right" vertical="center" wrapText="1"/>
    </xf>
    <xf numFmtId="0" fontId="32" fillId="0" borderId="23" xfId="0" applyFont="1" applyFill="1" applyBorder="1" applyAlignment="1">
      <alignment horizontal="right" vertical="center" wrapText="1"/>
    </xf>
    <xf numFmtId="0" fontId="32" fillId="0" borderId="59" xfId="0" applyFont="1" applyFill="1" applyBorder="1" applyAlignment="1">
      <alignment horizontal="right" vertical="center" wrapText="1"/>
    </xf>
    <xf numFmtId="167" fontId="32" fillId="8" borderId="11" xfId="0" applyNumberFormat="1" applyFont="1" applyFill="1" applyBorder="1" applyAlignment="1">
      <alignment horizontal="right" vertical="center" wrapText="1"/>
    </xf>
    <xf numFmtId="0" fontId="31" fillId="0" borderId="23" xfId="0" applyFont="1" applyFill="1" applyBorder="1" applyAlignment="1" applyProtection="1">
      <alignment horizontal="left" vertical="center" indent="1"/>
    </xf>
    <xf numFmtId="0" fontId="32" fillId="0" borderId="47" xfId="0" applyFont="1" applyFill="1" applyBorder="1" applyAlignment="1">
      <alignment horizontal="right" vertical="center" wrapText="1"/>
    </xf>
    <xf numFmtId="0" fontId="32" fillId="0" borderId="10" xfId="0" applyFont="1" applyBorder="1" applyAlignment="1">
      <alignment horizontal="right" vertical="center" wrapText="1"/>
    </xf>
    <xf numFmtId="2" fontId="32" fillId="0" borderId="10" xfId="0" applyNumberFormat="1" applyFont="1" applyBorder="1" applyAlignment="1">
      <alignment horizontal="right" vertical="center" wrapText="1"/>
    </xf>
    <xf numFmtId="164" fontId="32" fillId="0" borderId="23" xfId="2" applyNumberFormat="1" applyFont="1" applyBorder="1" applyAlignment="1">
      <alignment horizontal="right" vertical="center"/>
    </xf>
    <xf numFmtId="164" fontId="32" fillId="0" borderId="119" xfId="2" applyNumberFormat="1" applyFont="1" applyFill="1" applyBorder="1" applyAlignment="1">
      <alignment horizontal="right" vertical="center"/>
    </xf>
    <xf numFmtId="164" fontId="32" fillId="5" borderId="98" xfId="2" applyNumberFormat="1" applyFont="1" applyFill="1" applyBorder="1" applyAlignment="1">
      <alignment horizontal="right" vertical="center"/>
    </xf>
    <xf numFmtId="0" fontId="31" fillId="0" borderId="93" xfId="0" applyFont="1" applyFill="1" applyBorder="1" applyAlignment="1" applyProtection="1">
      <alignment horizontal="left" vertical="center" indent="1"/>
    </xf>
    <xf numFmtId="164" fontId="32" fillId="0" borderId="24" xfId="2" applyNumberFormat="1" applyFont="1" applyBorder="1" applyAlignment="1">
      <alignment horizontal="right" vertical="center"/>
    </xf>
    <xf numFmtId="164" fontId="32" fillId="0" borderId="45" xfId="2" applyNumberFormat="1" applyFont="1" applyBorder="1" applyAlignment="1">
      <alignment horizontal="right" vertical="center"/>
    </xf>
    <xf numFmtId="164" fontId="32" fillId="5" borderId="96" xfId="2" applyNumberFormat="1" applyFont="1" applyFill="1" applyBorder="1" applyAlignment="1">
      <alignment horizontal="right" vertical="center"/>
    </xf>
    <xf numFmtId="0" fontId="32" fillId="0" borderId="0" xfId="0" applyFont="1" applyBorder="1" applyAlignment="1">
      <alignment horizontal="right" vertical="center" wrapText="1"/>
    </xf>
    <xf numFmtId="0" fontId="32" fillId="6" borderId="45" xfId="0" applyFont="1" applyFill="1" applyBorder="1" applyAlignment="1">
      <alignment horizontal="right" vertical="center" wrapText="1"/>
    </xf>
    <xf numFmtId="2" fontId="32" fillId="0" borderId="121" xfId="0" applyNumberFormat="1" applyFont="1" applyBorder="1" applyAlignment="1">
      <alignment horizontal="right" vertical="center" wrapText="1"/>
    </xf>
    <xf numFmtId="2" fontId="32" fillId="0" borderId="57" xfId="0" applyNumberFormat="1" applyFont="1" applyBorder="1" applyAlignment="1">
      <alignment horizontal="right" vertical="center" wrapText="1"/>
    </xf>
    <xf numFmtId="0" fontId="32" fillId="0" borderId="24" xfId="0" applyFont="1" applyFill="1" applyBorder="1" applyAlignment="1">
      <alignment horizontal="right" vertical="center" wrapText="1"/>
    </xf>
    <xf numFmtId="0" fontId="32" fillId="0" borderId="45" xfId="0" applyFont="1" applyFill="1" applyBorder="1" applyAlignment="1">
      <alignment horizontal="right" vertical="center" wrapText="1"/>
    </xf>
    <xf numFmtId="0" fontId="32" fillId="0" borderId="57" xfId="0" applyFont="1" applyFill="1" applyBorder="1" applyAlignment="1">
      <alignment horizontal="right" vertical="center" wrapText="1"/>
    </xf>
    <xf numFmtId="167" fontId="32" fillId="8" borderId="0" xfId="0" applyNumberFormat="1" applyFont="1" applyFill="1" applyBorder="1" applyAlignment="1">
      <alignment horizontal="right" vertical="center" wrapText="1"/>
    </xf>
    <xf numFmtId="2" fontId="32" fillId="0" borderId="12" xfId="0" applyNumberFormat="1" applyFont="1" applyBorder="1" applyAlignment="1">
      <alignment horizontal="right" vertical="center" wrapText="1"/>
    </xf>
    <xf numFmtId="164" fontId="15" fillId="2" borderId="25" xfId="2" applyNumberFormat="1" applyFont="1" applyFill="1" applyBorder="1" applyAlignment="1" applyProtection="1">
      <alignment horizontal="center" vertical="center"/>
    </xf>
    <xf numFmtId="164" fontId="15" fillId="2" borderId="48" xfId="2" applyNumberFormat="1" applyFont="1" applyFill="1" applyBorder="1" applyAlignment="1" applyProtection="1">
      <alignment horizontal="center" vertical="center"/>
    </xf>
    <xf numFmtId="164" fontId="15" fillId="5" borderId="99" xfId="2" applyNumberFormat="1" applyFont="1" applyFill="1" applyBorder="1" applyAlignment="1" applyProtection="1">
      <alignment horizontal="center" vertical="center"/>
    </xf>
    <xf numFmtId="164" fontId="15" fillId="2" borderId="55" xfId="2" applyNumberFormat="1" applyFont="1" applyFill="1" applyBorder="1" applyAlignment="1" applyProtection="1">
      <alignment horizontal="center" vertical="center"/>
    </xf>
    <xf numFmtId="164" fontId="15" fillId="6" borderId="48" xfId="2" applyNumberFormat="1" applyFont="1" applyFill="1" applyBorder="1" applyAlignment="1" applyProtection="1">
      <alignment horizontal="center" vertical="center"/>
    </xf>
    <xf numFmtId="164" fontId="15" fillId="2" borderId="74" xfId="2" applyNumberFormat="1" applyFont="1" applyFill="1" applyBorder="1" applyAlignment="1" applyProtection="1">
      <alignment horizontal="center" vertical="center"/>
    </xf>
    <xf numFmtId="2" fontId="15" fillId="7" borderId="80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48" xfId="0" applyFont="1" applyFill="1" applyBorder="1" applyAlignment="1" applyProtection="1">
      <alignment horizontal="center" vertical="center"/>
    </xf>
    <xf numFmtId="0" fontId="15" fillId="0" borderId="55" xfId="0" applyFont="1" applyFill="1" applyBorder="1" applyAlignment="1" applyProtection="1">
      <alignment horizontal="center" vertical="center"/>
    </xf>
    <xf numFmtId="167" fontId="15" fillId="8" borderId="38" xfId="0" applyNumberFormat="1" applyFont="1" applyFill="1" applyBorder="1" applyAlignment="1" applyProtection="1">
      <alignment horizontal="center" vertical="center"/>
    </xf>
    <xf numFmtId="166" fontId="15" fillId="4" borderId="78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2" fontId="15" fillId="0" borderId="0" xfId="0" applyNumberFormat="1" applyFont="1" applyBorder="1" applyAlignment="1">
      <alignment horizontal="center"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3" fillId="0" borderId="0" xfId="0" applyFont="1"/>
    <xf numFmtId="0" fontId="27" fillId="0" borderId="122" xfId="0" applyFont="1" applyFill="1" applyBorder="1" applyAlignment="1" applyProtection="1">
      <alignment horizontal="left" vertical="center"/>
    </xf>
    <xf numFmtId="164" fontId="27" fillId="0" borderId="15" xfId="2" applyNumberFormat="1" applyFont="1" applyFill="1" applyBorder="1" applyAlignment="1" applyProtection="1">
      <alignment horizontal="center" vertical="center"/>
    </xf>
    <xf numFmtId="164" fontId="27" fillId="0" borderId="123" xfId="2" applyNumberFormat="1" applyFont="1" applyFill="1" applyBorder="1" applyAlignment="1" applyProtection="1">
      <alignment horizontal="center" vertical="center"/>
    </xf>
    <xf numFmtId="164" fontId="27" fillId="5" borderId="30" xfId="2" applyNumberFormat="1" applyFont="1" applyFill="1" applyBorder="1" applyAlignment="1" applyProtection="1">
      <alignment horizontal="center" vertical="center"/>
    </xf>
    <xf numFmtId="0" fontId="27" fillId="0" borderId="43" xfId="0" applyFont="1" applyFill="1" applyBorder="1" applyAlignment="1" applyProtection="1">
      <alignment horizontal="center" vertical="center"/>
    </xf>
    <xf numFmtId="0" fontId="27" fillId="0" borderId="111" xfId="0" applyFont="1" applyFill="1" applyBorder="1" applyAlignment="1" applyProtection="1">
      <alignment horizontal="center" vertical="center"/>
    </xf>
    <xf numFmtId="0" fontId="27" fillId="0" borderId="123" xfId="0" applyFont="1" applyFill="1" applyBorder="1" applyAlignment="1" applyProtection="1">
      <alignment horizontal="center" vertical="center"/>
    </xf>
    <xf numFmtId="0" fontId="27" fillId="6" borderId="123" xfId="0" applyFont="1" applyFill="1" applyBorder="1" applyAlignment="1" applyProtection="1">
      <alignment horizontal="center" vertical="center"/>
    </xf>
    <xf numFmtId="0" fontId="27" fillId="0" borderId="15" xfId="0" applyFont="1" applyFill="1" applyBorder="1" applyAlignment="1" applyProtection="1">
      <alignment horizontal="center" vertical="center"/>
    </xf>
    <xf numFmtId="2" fontId="27" fillId="7" borderId="44" xfId="0" applyNumberFormat="1" applyFont="1" applyFill="1" applyBorder="1" applyAlignment="1" applyProtection="1">
      <alignment horizontal="center" vertical="center"/>
    </xf>
    <xf numFmtId="167" fontId="27" fillId="8" borderId="43" xfId="0" applyNumberFormat="1" applyFont="1" applyFill="1" applyBorder="1" applyAlignment="1" applyProtection="1">
      <alignment horizontal="center" vertical="center"/>
    </xf>
    <xf numFmtId="2" fontId="27" fillId="0" borderId="125" xfId="0" applyNumberFormat="1" applyFont="1" applyFill="1" applyBorder="1" applyAlignment="1" applyProtection="1">
      <alignment horizontal="center" vertical="center"/>
    </xf>
    <xf numFmtId="2" fontId="27" fillId="0" borderId="111" xfId="0" applyNumberFormat="1" applyFont="1" applyFill="1" applyBorder="1" applyAlignment="1" applyProtection="1">
      <alignment horizontal="center" vertical="center"/>
    </xf>
    <xf numFmtId="166" fontId="27" fillId="4" borderId="44" xfId="0" applyNumberFormat="1" applyFont="1" applyFill="1" applyBorder="1" applyAlignment="1" applyProtection="1">
      <alignment horizontal="center" vertical="center"/>
    </xf>
    <xf numFmtId="0" fontId="31" fillId="0" borderId="9" xfId="0" applyFont="1" applyFill="1" applyBorder="1" applyAlignment="1" applyProtection="1">
      <alignment horizontal="left" vertical="center"/>
    </xf>
    <xf numFmtId="164" fontId="31" fillId="0" borderId="23" xfId="2" applyNumberFormat="1" applyFont="1" applyFill="1" applyBorder="1" applyAlignment="1" applyProtection="1">
      <alignment horizontal="center" vertical="center"/>
    </xf>
    <xf numFmtId="164" fontId="31" fillId="0" borderId="119" xfId="2" applyNumberFormat="1" applyFont="1" applyFill="1" applyBorder="1" applyAlignment="1" applyProtection="1">
      <alignment horizontal="center" vertical="center"/>
    </xf>
    <xf numFmtId="164" fontId="31" fillId="5" borderId="98" xfId="2" applyNumberFormat="1" applyFont="1" applyFill="1" applyBorder="1" applyAlignment="1" applyProtection="1">
      <alignment horizontal="center" vertical="center"/>
    </xf>
    <xf numFmtId="0" fontId="31" fillId="0" borderId="11" xfId="0" applyFont="1" applyFill="1" applyBorder="1" applyAlignment="1" applyProtection="1">
      <alignment horizontal="center" vertical="center"/>
    </xf>
    <xf numFmtId="0" fontId="31" fillId="0" borderId="59" xfId="0" applyFont="1" applyFill="1" applyBorder="1" applyAlignment="1" applyProtection="1">
      <alignment horizontal="center" vertical="center"/>
    </xf>
    <xf numFmtId="0" fontId="31" fillId="0" borderId="47" xfId="0" applyFont="1" applyFill="1" applyBorder="1" applyAlignment="1" applyProtection="1">
      <alignment horizontal="center" vertical="center"/>
    </xf>
    <xf numFmtId="0" fontId="31" fillId="6" borderId="47" xfId="0" applyFont="1" applyFill="1" applyBorder="1" applyAlignment="1" applyProtection="1">
      <alignment horizontal="center" vertical="center"/>
    </xf>
    <xf numFmtId="2" fontId="31" fillId="7" borderId="83" xfId="0" applyNumberFormat="1" applyFont="1" applyFill="1" applyBorder="1" applyAlignment="1" applyProtection="1">
      <alignment horizontal="center" vertical="center"/>
    </xf>
    <xf numFmtId="0" fontId="31" fillId="0" borderId="23" xfId="0" applyFont="1" applyFill="1" applyBorder="1" applyAlignment="1" applyProtection="1">
      <alignment horizontal="center" vertical="center"/>
    </xf>
    <xf numFmtId="167" fontId="31" fillId="8" borderId="11" xfId="0" applyNumberFormat="1" applyFont="1" applyFill="1" applyBorder="1" applyAlignment="1" applyProtection="1">
      <alignment horizontal="center" vertical="center"/>
    </xf>
    <xf numFmtId="2" fontId="31" fillId="0" borderId="126" xfId="0" applyNumberFormat="1" applyFont="1" applyBorder="1" applyAlignment="1">
      <alignment horizontal="center" vertical="center" wrapText="1"/>
    </xf>
    <xf numFmtId="2" fontId="31" fillId="0" borderId="59" xfId="0" applyNumberFormat="1" applyFont="1" applyFill="1" applyBorder="1" applyAlignment="1" applyProtection="1">
      <alignment horizontal="center" vertical="center"/>
    </xf>
    <xf numFmtId="0" fontId="32" fillId="0" borderId="127" xfId="0" applyFont="1" applyFill="1" applyBorder="1" applyAlignment="1" applyProtection="1">
      <alignment horizontal="left" vertical="center" indent="1" shrinkToFit="1"/>
    </xf>
    <xf numFmtId="164" fontId="32" fillId="0" borderId="93" xfId="2" applyNumberFormat="1" applyFont="1" applyFill="1" applyBorder="1" applyAlignment="1" applyProtection="1">
      <alignment horizontal="center" vertical="center"/>
    </xf>
    <xf numFmtId="164" fontId="32" fillId="0" borderId="128" xfId="2" applyNumberFormat="1" applyFont="1" applyFill="1" applyBorder="1" applyAlignment="1" applyProtection="1">
      <alignment horizontal="center" vertical="center"/>
    </xf>
    <xf numFmtId="164" fontId="32" fillId="5" borderId="129" xfId="2" applyNumberFormat="1" applyFont="1" applyFill="1" applyBorder="1" applyAlignment="1" applyProtection="1">
      <alignment horizontal="center" vertical="center"/>
    </xf>
    <xf numFmtId="0" fontId="32" fillId="0" borderId="130" xfId="0" applyFont="1" applyFill="1" applyBorder="1" applyAlignment="1" applyProtection="1">
      <alignment horizontal="center" vertical="center"/>
    </xf>
    <xf numFmtId="0" fontId="32" fillId="0" borderId="112" xfId="0" applyFont="1" applyFill="1" applyBorder="1" applyAlignment="1" applyProtection="1">
      <alignment horizontal="center" vertical="center"/>
    </xf>
    <xf numFmtId="0" fontId="32" fillId="6" borderId="131" xfId="0" applyFont="1" applyFill="1" applyBorder="1" applyAlignment="1" applyProtection="1">
      <alignment horizontal="center" vertical="center"/>
    </xf>
    <xf numFmtId="2" fontId="32" fillId="0" borderId="121" xfId="0" applyNumberFormat="1" applyFont="1" applyBorder="1" applyAlignment="1">
      <alignment vertical="center" wrapText="1"/>
    </xf>
    <xf numFmtId="2" fontId="12" fillId="0" borderId="112" xfId="0" applyNumberFormat="1" applyFont="1" applyBorder="1" applyAlignment="1">
      <alignment vertical="center" wrapText="1"/>
    </xf>
    <xf numFmtId="2" fontId="32" fillId="7" borderId="109" xfId="0" applyNumberFormat="1" applyFont="1" applyFill="1" applyBorder="1" applyAlignment="1" applyProtection="1">
      <alignment horizontal="center" vertical="center"/>
    </xf>
    <xf numFmtId="0" fontId="32" fillId="0" borderId="121" xfId="0" applyFont="1" applyFill="1" applyBorder="1" applyAlignment="1" applyProtection="1">
      <alignment horizontal="center" vertical="center"/>
    </xf>
    <xf numFmtId="167" fontId="32" fillId="8" borderId="132" xfId="0" applyNumberFormat="1" applyFont="1" applyFill="1" applyBorder="1" applyAlignment="1" applyProtection="1">
      <alignment horizontal="center" vertical="center"/>
    </xf>
    <xf numFmtId="2" fontId="32" fillId="0" borderId="133" xfId="0" applyNumberFormat="1" applyFont="1" applyFill="1" applyBorder="1" applyAlignment="1" applyProtection="1">
      <alignment horizontal="center" vertical="center"/>
    </xf>
    <xf numFmtId="2" fontId="32" fillId="0" borderId="112" xfId="0" applyNumberFormat="1" applyFont="1" applyFill="1" applyBorder="1" applyAlignment="1" applyProtection="1">
      <alignment horizontal="center" vertical="center"/>
    </xf>
    <xf numFmtId="166" fontId="32" fillId="4" borderId="134" xfId="0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2" fontId="35" fillId="0" borderId="0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/>
    <xf numFmtId="0" fontId="32" fillId="0" borderId="8" xfId="0" quotePrefix="1" applyFont="1" applyFill="1" applyBorder="1" applyAlignment="1" applyProtection="1">
      <alignment horizontal="left" vertical="center" indent="1"/>
    </xf>
    <xf numFmtId="164" fontId="32" fillId="0" borderId="24" xfId="2" applyNumberFormat="1" applyFont="1" applyFill="1" applyBorder="1" applyAlignment="1" applyProtection="1">
      <alignment horizontal="center" vertical="center"/>
    </xf>
    <xf numFmtId="164" fontId="32" fillId="0" borderId="135" xfId="2" applyNumberFormat="1" applyFont="1" applyFill="1" applyBorder="1" applyAlignment="1" applyProtection="1">
      <alignment horizontal="center" vertical="center"/>
    </xf>
    <xf numFmtId="164" fontId="32" fillId="5" borderId="102" xfId="2" applyNumberFormat="1" applyFont="1" applyFill="1" applyBorder="1" applyAlignment="1" applyProtection="1">
      <alignment horizontal="center" vertical="center"/>
    </xf>
    <xf numFmtId="0" fontId="32" fillId="0" borderId="41" xfId="0" applyFont="1" applyFill="1" applyBorder="1" applyAlignment="1" applyProtection="1">
      <alignment horizontal="center" vertical="center"/>
    </xf>
    <xf numFmtId="0" fontId="32" fillId="0" borderId="62" xfId="0" applyFont="1" applyFill="1" applyBorder="1" applyAlignment="1" applyProtection="1">
      <alignment horizontal="center" vertical="center"/>
    </xf>
    <xf numFmtId="0" fontId="32" fillId="6" borderId="51" xfId="0" applyFont="1" applyFill="1" applyBorder="1" applyAlignment="1" applyProtection="1">
      <alignment horizontal="center" vertical="center"/>
    </xf>
    <xf numFmtId="2" fontId="32" fillId="0" borderId="120" xfId="0" applyNumberFormat="1" applyFont="1" applyBorder="1" applyAlignment="1">
      <alignment vertical="center" wrapText="1"/>
    </xf>
    <xf numFmtId="2" fontId="32" fillId="0" borderId="59" xfId="0" applyNumberFormat="1" applyFont="1" applyBorder="1" applyAlignment="1">
      <alignment vertical="center" wrapText="1"/>
    </xf>
    <xf numFmtId="2" fontId="32" fillId="7" borderId="83" xfId="0" applyNumberFormat="1" applyFont="1" applyFill="1" applyBorder="1" applyAlignment="1" applyProtection="1">
      <alignment horizontal="center" vertical="center"/>
    </xf>
    <xf numFmtId="0" fontId="32" fillId="0" borderId="23" xfId="0" applyFont="1" applyFill="1" applyBorder="1" applyAlignment="1" applyProtection="1">
      <alignment horizontal="center" vertical="center"/>
    </xf>
    <xf numFmtId="0" fontId="32" fillId="0" borderId="47" xfId="0" applyFont="1" applyFill="1" applyBorder="1" applyAlignment="1" applyProtection="1">
      <alignment horizontal="center" vertical="center"/>
    </xf>
    <xf numFmtId="0" fontId="32" fillId="0" borderId="59" xfId="0" applyFont="1" applyFill="1" applyBorder="1" applyAlignment="1" applyProtection="1">
      <alignment horizontal="center" vertical="center"/>
    </xf>
    <xf numFmtId="167" fontId="32" fillId="8" borderId="11" xfId="0" applyNumberFormat="1" applyFont="1" applyFill="1" applyBorder="1" applyAlignment="1" applyProtection="1">
      <alignment horizontal="center" vertical="center"/>
    </xf>
    <xf numFmtId="2" fontId="32" fillId="0" borderId="12" xfId="0" applyNumberFormat="1" applyFont="1" applyFill="1" applyBorder="1" applyAlignment="1" applyProtection="1">
      <alignment horizontal="center" vertical="center"/>
    </xf>
    <xf numFmtId="2" fontId="32" fillId="0" borderId="57" xfId="0" applyNumberFormat="1" applyFont="1" applyFill="1" applyBorder="1" applyAlignment="1" applyProtection="1">
      <alignment horizontal="center" vertical="center"/>
    </xf>
    <xf numFmtId="166" fontId="32" fillId="4" borderId="109" xfId="0" applyNumberFormat="1" applyFont="1" applyFill="1" applyBorder="1" applyAlignment="1">
      <alignment horizontal="center" vertical="center" wrapText="1"/>
    </xf>
    <xf numFmtId="0" fontId="31" fillId="0" borderId="21" xfId="0" applyFont="1" applyFill="1" applyBorder="1" applyAlignment="1" applyProtection="1">
      <alignment horizontal="left" vertical="center" indent="1"/>
    </xf>
    <xf numFmtId="164" fontId="31" fillId="0" borderId="32" xfId="2" applyNumberFormat="1" applyFont="1" applyFill="1" applyBorder="1" applyAlignment="1" applyProtection="1">
      <alignment horizontal="center" vertical="center"/>
    </xf>
    <xf numFmtId="164" fontId="31" fillId="0" borderId="136" xfId="2" applyNumberFormat="1" applyFont="1" applyFill="1" applyBorder="1" applyAlignment="1" applyProtection="1">
      <alignment horizontal="center" vertical="center"/>
    </xf>
    <xf numFmtId="164" fontId="31" fillId="5" borderId="102" xfId="2" applyNumberFormat="1" applyFont="1" applyFill="1" applyBorder="1" applyAlignment="1" applyProtection="1">
      <alignment horizontal="center" vertical="center"/>
    </xf>
    <xf numFmtId="0" fontId="31" fillId="0" borderId="41" xfId="0" applyFont="1" applyFill="1" applyBorder="1" applyAlignment="1" applyProtection="1">
      <alignment horizontal="center" vertical="center"/>
    </xf>
    <xf numFmtId="0" fontId="31" fillId="0" borderId="62" xfId="0" applyFont="1" applyFill="1" applyBorder="1" applyAlignment="1" applyProtection="1">
      <alignment horizontal="center" vertical="center"/>
    </xf>
    <xf numFmtId="0" fontId="31" fillId="0" borderId="51" xfId="0" applyFont="1" applyFill="1" applyBorder="1" applyAlignment="1" applyProtection="1">
      <alignment horizontal="center" vertical="center"/>
    </xf>
    <xf numFmtId="0" fontId="31" fillId="6" borderId="51" xfId="0" applyFont="1" applyFill="1" applyBorder="1" applyAlignment="1" applyProtection="1">
      <alignment horizontal="center" vertical="center"/>
    </xf>
    <xf numFmtId="2" fontId="31" fillId="0" borderId="137" xfId="0" applyNumberFormat="1" applyFont="1" applyBorder="1" applyAlignment="1">
      <alignment horizontal="center" vertical="center" wrapText="1"/>
    </xf>
    <xf numFmtId="2" fontId="31" fillId="0" borderId="57" xfId="0" applyNumberFormat="1" applyFont="1" applyBorder="1" applyAlignment="1">
      <alignment horizontal="center" vertical="center" wrapText="1"/>
    </xf>
    <xf numFmtId="2" fontId="31" fillId="7" borderId="113" xfId="0" applyNumberFormat="1" applyFont="1" applyFill="1" applyBorder="1" applyAlignment="1" applyProtection="1">
      <alignment horizontal="center" vertical="center"/>
    </xf>
    <xf numFmtId="0" fontId="31" fillId="0" borderId="32" xfId="0" applyFont="1" applyFill="1" applyBorder="1" applyAlignment="1" applyProtection="1">
      <alignment horizontal="center" vertical="center"/>
    </xf>
    <xf numFmtId="167" fontId="31" fillId="8" borderId="41" xfId="0" applyNumberFormat="1" applyFont="1" applyFill="1" applyBorder="1" applyAlignment="1" applyProtection="1">
      <alignment horizontal="center" vertical="center"/>
    </xf>
    <xf numFmtId="2" fontId="31" fillId="0" borderId="22" xfId="0" applyNumberFormat="1" applyFont="1" applyFill="1" applyBorder="1" applyAlignment="1" applyProtection="1">
      <alignment horizontal="center" vertical="center"/>
    </xf>
    <xf numFmtId="2" fontId="31" fillId="0" borderId="62" xfId="0" applyNumberFormat="1" applyFont="1" applyFill="1" applyBorder="1" applyAlignment="1" applyProtection="1">
      <alignment horizontal="center" vertical="center"/>
    </xf>
    <xf numFmtId="166" fontId="31" fillId="4" borderId="136" xfId="0" applyNumberFormat="1" applyFont="1" applyFill="1" applyBorder="1" applyAlignment="1">
      <alignment horizontal="center" vertical="center" wrapText="1"/>
    </xf>
    <xf numFmtId="0" fontId="27" fillId="0" borderId="7" xfId="0" applyFont="1" applyFill="1" applyBorder="1" applyAlignment="1" applyProtection="1">
      <alignment horizontal="left" vertical="center"/>
    </xf>
    <xf numFmtId="164" fontId="27" fillId="0" borderId="1" xfId="2" applyNumberFormat="1" applyFont="1" applyFill="1" applyBorder="1" applyAlignment="1" applyProtection="1">
      <alignment horizontal="center" vertical="center"/>
    </xf>
    <xf numFmtId="164" fontId="27" fillId="0" borderId="52" xfId="2" applyNumberFormat="1" applyFont="1" applyFill="1" applyBorder="1" applyAlignment="1" applyProtection="1">
      <alignment horizontal="center" vertical="center"/>
    </xf>
    <xf numFmtId="164" fontId="27" fillId="5" borderId="103" xfId="2" applyNumberFormat="1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 applyProtection="1">
      <alignment horizontal="center" vertical="center"/>
    </xf>
    <xf numFmtId="0" fontId="27" fillId="0" borderId="63" xfId="0" applyFont="1" applyFill="1" applyBorder="1" applyAlignment="1" applyProtection="1">
      <alignment horizontal="center" vertical="center"/>
    </xf>
    <xf numFmtId="0" fontId="27" fillId="0" borderId="52" xfId="0" applyFont="1" applyFill="1" applyBorder="1" applyAlignment="1" applyProtection="1">
      <alignment horizontal="center" vertical="center"/>
    </xf>
    <xf numFmtId="0" fontId="27" fillId="6" borderId="52" xfId="0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 applyProtection="1">
      <alignment horizontal="center" vertical="center"/>
    </xf>
    <xf numFmtId="2" fontId="27" fillId="7" borderId="3" xfId="0" applyNumberFormat="1" applyFont="1" applyFill="1" applyBorder="1" applyAlignment="1" applyProtection="1">
      <alignment horizontal="center" vertical="center"/>
    </xf>
    <xf numFmtId="167" fontId="27" fillId="8" borderId="2" xfId="0" applyNumberFormat="1" applyFont="1" applyFill="1" applyBorder="1" applyAlignment="1" applyProtection="1">
      <alignment horizontal="center" vertical="center"/>
    </xf>
    <xf numFmtId="2" fontId="27" fillId="0" borderId="26" xfId="0" applyNumberFormat="1" applyFont="1" applyFill="1" applyBorder="1" applyAlignment="1" applyProtection="1">
      <alignment horizontal="center" vertical="center"/>
    </xf>
    <xf numFmtId="2" fontId="27" fillId="0" borderId="63" xfId="0" applyNumberFormat="1" applyFont="1" applyFill="1" applyBorder="1" applyAlignment="1" applyProtection="1">
      <alignment horizontal="center" vertical="center"/>
    </xf>
    <xf numFmtId="166" fontId="27" fillId="4" borderId="3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left" vertical="center" indent="1"/>
    </xf>
    <xf numFmtId="164" fontId="31" fillId="0" borderId="20" xfId="2" applyNumberFormat="1" applyFont="1" applyFill="1" applyBorder="1" applyAlignment="1" applyProtection="1">
      <alignment horizontal="center" vertical="center"/>
    </xf>
    <xf numFmtId="164" fontId="31" fillId="0" borderId="117" xfId="2" applyNumberFormat="1" applyFont="1" applyFill="1" applyBorder="1" applyAlignment="1" applyProtection="1">
      <alignment horizontal="center" vertical="center"/>
    </xf>
    <xf numFmtId="164" fontId="31" fillId="5" borderId="97" xfId="2" applyNumberFormat="1" applyFont="1" applyFill="1" applyBorder="1" applyAlignment="1" applyProtection="1">
      <alignment horizontal="center" vertical="center"/>
    </xf>
    <xf numFmtId="0" fontId="31" fillId="0" borderId="40" xfId="0" applyFont="1" applyFill="1" applyBorder="1" applyAlignment="1" applyProtection="1">
      <alignment horizontal="center" vertical="center"/>
    </xf>
    <xf numFmtId="0" fontId="31" fillId="0" borderId="61" xfId="0" applyFont="1" applyFill="1" applyBorder="1" applyAlignment="1" applyProtection="1">
      <alignment horizontal="center" vertical="center"/>
    </xf>
    <xf numFmtId="0" fontId="31" fillId="0" borderId="50" xfId="0" applyFont="1" applyFill="1" applyBorder="1" applyAlignment="1" applyProtection="1">
      <alignment horizontal="center" vertical="center"/>
    </xf>
    <xf numFmtId="0" fontId="31" fillId="6" borderId="50" xfId="0" applyFont="1" applyFill="1" applyBorder="1" applyAlignment="1" applyProtection="1">
      <alignment horizontal="center" vertical="center"/>
    </xf>
    <xf numFmtId="2" fontId="31" fillId="7" borderId="78" xfId="0" applyNumberFormat="1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167" fontId="31" fillId="8" borderId="40" xfId="0" applyNumberFormat="1" applyFont="1" applyFill="1" applyBorder="1" applyAlignment="1" applyProtection="1">
      <alignment horizontal="center" vertical="center"/>
    </xf>
    <xf numFmtId="2" fontId="31" fillId="0" borderId="17" xfId="0" applyNumberFormat="1" applyFont="1" applyFill="1" applyBorder="1" applyAlignment="1" applyProtection="1">
      <alignment horizontal="center" vertical="center"/>
    </xf>
    <xf numFmtId="2" fontId="31" fillId="0" borderId="61" xfId="0" applyNumberFormat="1" applyFont="1" applyFill="1" applyBorder="1" applyAlignment="1" applyProtection="1">
      <alignment horizontal="center" vertical="center"/>
    </xf>
    <xf numFmtId="166" fontId="31" fillId="4" borderId="78" xfId="0" applyNumberFormat="1" applyFont="1" applyFill="1" applyBorder="1" applyAlignment="1" applyProtection="1">
      <alignment horizontal="center" vertical="center"/>
    </xf>
    <xf numFmtId="0" fontId="31" fillId="0" borderId="9" xfId="0" applyFont="1" applyFill="1" applyBorder="1" applyAlignment="1" applyProtection="1">
      <alignment horizontal="left" vertical="center" indent="1"/>
    </xf>
    <xf numFmtId="2" fontId="31" fillId="0" borderId="10" xfId="0" applyNumberFormat="1" applyFont="1" applyFill="1" applyBorder="1" applyAlignment="1" applyProtection="1">
      <alignment horizontal="center" vertical="center"/>
    </xf>
    <xf numFmtId="166" fontId="31" fillId="4" borderId="83" xfId="0" applyNumberFormat="1" applyFont="1" applyFill="1" applyBorder="1" applyAlignment="1" applyProtection="1">
      <alignment horizontal="center" vertical="center"/>
    </xf>
    <xf numFmtId="164" fontId="31" fillId="0" borderId="24" xfId="2" applyNumberFormat="1" applyFont="1" applyFill="1" applyBorder="1" applyAlignment="1" applyProtection="1">
      <alignment horizontal="center" vertical="center"/>
    </xf>
    <xf numFmtId="164" fontId="31" fillId="0" borderId="138" xfId="2" applyNumberFormat="1" applyFont="1" applyFill="1" applyBorder="1" applyAlignment="1" applyProtection="1">
      <alignment horizontal="center" vertical="center"/>
    </xf>
    <xf numFmtId="164" fontId="31" fillId="5" borderId="96" xfId="2" applyNumberFormat="1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57" xfId="0" applyFont="1" applyFill="1" applyBorder="1" applyAlignment="1" applyProtection="1">
      <alignment horizontal="center" vertical="center"/>
    </xf>
    <xf numFmtId="0" fontId="31" fillId="0" borderId="45" xfId="0" applyFont="1" applyFill="1" applyBorder="1" applyAlignment="1" applyProtection="1">
      <alignment horizontal="center" vertical="center"/>
    </xf>
    <xf numFmtId="0" fontId="31" fillId="6" borderId="45" xfId="0" applyFont="1" applyFill="1" applyBorder="1" applyAlignment="1" applyProtection="1">
      <alignment horizontal="center" vertical="center"/>
    </xf>
    <xf numFmtId="2" fontId="31" fillId="7" borderId="109" xfId="0" applyNumberFormat="1" applyFont="1" applyFill="1" applyBorder="1" applyAlignment="1" applyProtection="1">
      <alignment horizontal="center" vertical="center"/>
    </xf>
    <xf numFmtId="0" fontId="31" fillId="0" borderId="24" xfId="0" applyFont="1" applyFill="1" applyBorder="1" applyAlignment="1" applyProtection="1">
      <alignment horizontal="center" vertical="center"/>
    </xf>
    <xf numFmtId="167" fontId="31" fillId="8" borderId="0" xfId="0" applyNumberFormat="1" applyFont="1" applyFill="1" applyBorder="1" applyAlignment="1" applyProtection="1">
      <alignment horizontal="center" vertical="center"/>
    </xf>
    <xf numFmtId="2" fontId="31" fillId="0" borderId="12" xfId="0" applyNumberFormat="1" applyFont="1" applyFill="1" applyBorder="1" applyAlignment="1" applyProtection="1">
      <alignment horizontal="center" vertical="center"/>
    </xf>
    <xf numFmtId="2" fontId="31" fillId="0" borderId="57" xfId="0" applyNumberFormat="1" applyFont="1" applyFill="1" applyBorder="1" applyAlignment="1" applyProtection="1">
      <alignment horizontal="center" vertical="center"/>
    </xf>
    <xf numFmtId="166" fontId="31" fillId="4" borderId="109" xfId="0" applyNumberFormat="1" applyFont="1" applyFill="1" applyBorder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center" vertical="center" shrinkToFit="1"/>
    </xf>
    <xf numFmtId="2" fontId="15" fillId="7" borderId="80" xfId="0" applyNumberFormat="1" applyFont="1" applyFill="1" applyBorder="1" applyAlignment="1" applyProtection="1">
      <alignment horizontal="center" vertical="center" shrinkToFit="1"/>
    </xf>
    <xf numFmtId="0" fontId="15" fillId="0" borderId="25" xfId="0" applyFont="1" applyFill="1" applyBorder="1" applyAlignment="1" applyProtection="1">
      <alignment horizontal="center" vertical="center" shrinkToFit="1"/>
    </xf>
    <xf numFmtId="0" fontId="15" fillId="0" borderId="48" xfId="0" applyFont="1" applyFill="1" applyBorder="1" applyAlignment="1" applyProtection="1">
      <alignment horizontal="center" vertical="center" shrinkToFit="1"/>
    </xf>
    <xf numFmtId="0" fontId="15" fillId="0" borderId="55" xfId="0" applyFont="1" applyFill="1" applyBorder="1" applyAlignment="1" applyProtection="1">
      <alignment horizontal="center" vertical="center" shrinkToFit="1"/>
    </xf>
    <xf numFmtId="167" fontId="15" fillId="8" borderId="38" xfId="0" applyNumberFormat="1" applyFont="1" applyFill="1" applyBorder="1" applyAlignment="1" applyProtection="1">
      <alignment horizontal="center" vertical="center" shrinkToFit="1"/>
    </xf>
    <xf numFmtId="2" fontId="15" fillId="2" borderId="5" xfId="0" applyNumberFormat="1" applyFont="1" applyFill="1" applyBorder="1" applyAlignment="1" applyProtection="1">
      <alignment horizontal="center" vertical="center" shrinkToFit="1"/>
    </xf>
    <xf numFmtId="2" fontId="15" fillId="2" borderId="55" xfId="0" applyNumberFormat="1" applyFont="1" applyFill="1" applyBorder="1" applyAlignment="1" applyProtection="1">
      <alignment horizontal="center" vertical="center" shrinkToFit="1"/>
    </xf>
    <xf numFmtId="166" fontId="15" fillId="4" borderId="80" xfId="0" applyNumberFormat="1" applyFont="1" applyFill="1" applyBorder="1" applyAlignment="1" applyProtection="1">
      <alignment horizontal="center" vertical="center" shrinkToFit="1"/>
    </xf>
    <xf numFmtId="0" fontId="32" fillId="0" borderId="18" xfId="3" applyFont="1" applyBorder="1" applyAlignment="1">
      <alignment horizontal="left" vertical="center" indent="1"/>
    </xf>
    <xf numFmtId="164" fontId="31" fillId="3" borderId="18" xfId="2" applyNumberFormat="1" applyFont="1" applyFill="1" applyBorder="1" applyAlignment="1" applyProtection="1">
      <alignment horizontal="center" vertical="center"/>
    </xf>
    <xf numFmtId="164" fontId="31" fillId="3" borderId="46" xfId="2" applyNumberFormat="1" applyFont="1" applyFill="1" applyBorder="1" applyAlignment="1" applyProtection="1">
      <alignment horizontal="center" vertical="center"/>
    </xf>
    <xf numFmtId="164" fontId="31" fillId="5" borderId="101" xfId="2" applyNumberFormat="1" applyFont="1" applyFill="1" applyBorder="1" applyAlignment="1" applyProtection="1">
      <alignment horizontal="center" vertical="center"/>
    </xf>
    <xf numFmtId="0" fontId="31" fillId="3" borderId="42" xfId="1" applyFont="1" applyFill="1" applyBorder="1" applyAlignment="1" applyProtection="1">
      <alignment horizontal="center" vertical="center"/>
    </xf>
    <xf numFmtId="0" fontId="31" fillId="3" borderId="58" xfId="1" applyFont="1" applyFill="1" applyBorder="1" applyAlignment="1" applyProtection="1">
      <alignment horizontal="center" vertical="center"/>
    </xf>
    <xf numFmtId="0" fontId="31" fillId="6" borderId="46" xfId="1" applyFont="1" applyFill="1" applyBorder="1" applyAlignment="1" applyProtection="1">
      <alignment horizontal="center" vertical="center"/>
    </xf>
    <xf numFmtId="2" fontId="31" fillId="7" borderId="114" xfId="1" applyNumberFormat="1" applyFont="1" applyFill="1" applyBorder="1" applyAlignment="1" applyProtection="1">
      <alignment horizontal="center" vertical="center"/>
    </xf>
    <xf numFmtId="0" fontId="31" fillId="0" borderId="18" xfId="1" applyFont="1" applyFill="1" applyBorder="1" applyAlignment="1" applyProtection="1">
      <alignment horizontal="center" vertical="center"/>
    </xf>
    <xf numFmtId="0" fontId="31" fillId="0" borderId="46" xfId="1" applyFont="1" applyFill="1" applyBorder="1" applyAlignment="1" applyProtection="1">
      <alignment horizontal="center" vertical="center"/>
    </xf>
    <xf numFmtId="0" fontId="31" fillId="0" borderId="58" xfId="1" applyFont="1" applyFill="1" applyBorder="1" applyAlignment="1" applyProtection="1">
      <alignment horizontal="center" vertical="center"/>
    </xf>
    <xf numFmtId="167" fontId="31" fillId="8" borderId="42" xfId="1" applyNumberFormat="1" applyFont="1" applyFill="1" applyBorder="1" applyAlignment="1" applyProtection="1">
      <alignment horizontal="center" vertical="center"/>
    </xf>
    <xf numFmtId="2" fontId="31" fillId="3" borderId="19" xfId="1" applyNumberFormat="1" applyFont="1" applyFill="1" applyBorder="1" applyAlignment="1" applyProtection="1">
      <alignment horizontal="center" vertical="center"/>
    </xf>
    <xf numFmtId="2" fontId="31" fillId="3" borderId="58" xfId="1" applyNumberFormat="1" applyFont="1" applyFill="1" applyBorder="1" applyAlignment="1" applyProtection="1">
      <alignment horizontal="center" vertical="center"/>
    </xf>
    <xf numFmtId="166" fontId="31" fillId="4" borderId="114" xfId="1" applyNumberFormat="1" applyFont="1" applyFill="1" applyBorder="1" applyAlignment="1" applyProtection="1">
      <alignment horizontal="center" vertical="center"/>
    </xf>
    <xf numFmtId="0" fontId="32" fillId="0" borderId="32" xfId="3" applyFont="1" applyBorder="1" applyAlignment="1">
      <alignment horizontal="left" vertical="center" indent="1"/>
    </xf>
    <xf numFmtId="164" fontId="31" fillId="3" borderId="24" xfId="2" applyNumberFormat="1" applyFont="1" applyFill="1" applyBorder="1" applyAlignment="1" applyProtection="1">
      <alignment horizontal="center" vertical="center"/>
    </xf>
    <xf numFmtId="164" fontId="31" fillId="3" borderId="45" xfId="2" applyNumberFormat="1" applyFont="1" applyFill="1" applyBorder="1" applyAlignment="1" applyProtection="1">
      <alignment horizontal="center" vertical="center"/>
    </xf>
    <xf numFmtId="0" fontId="31" fillId="3" borderId="0" xfId="1" applyFont="1" applyFill="1" applyBorder="1" applyAlignment="1" applyProtection="1">
      <alignment horizontal="center" vertical="center"/>
    </xf>
    <xf numFmtId="0" fontId="31" fillId="3" borderId="57" xfId="1" applyFont="1" applyFill="1" applyBorder="1" applyAlignment="1" applyProtection="1">
      <alignment horizontal="center" vertical="center"/>
    </xf>
    <xf numFmtId="0" fontId="31" fillId="6" borderId="45" xfId="1" applyFont="1" applyFill="1" applyBorder="1" applyAlignment="1" applyProtection="1">
      <alignment horizontal="center" vertical="center"/>
    </xf>
    <xf numFmtId="2" fontId="31" fillId="7" borderId="109" xfId="1" applyNumberFormat="1" applyFont="1" applyFill="1" applyBorder="1" applyAlignment="1" applyProtection="1">
      <alignment horizontal="center" vertical="center"/>
    </xf>
    <xf numFmtId="0" fontId="31" fillId="0" borderId="24" xfId="1" applyFont="1" applyFill="1" applyBorder="1" applyAlignment="1" applyProtection="1">
      <alignment horizontal="center" vertical="center"/>
    </xf>
    <xf numFmtId="0" fontId="31" fillId="0" borderId="45" xfId="1" applyFont="1" applyFill="1" applyBorder="1" applyAlignment="1" applyProtection="1">
      <alignment horizontal="center" vertical="center"/>
    </xf>
    <xf numFmtId="0" fontId="31" fillId="0" borderId="57" xfId="1" applyFont="1" applyFill="1" applyBorder="1" applyAlignment="1" applyProtection="1">
      <alignment horizontal="center" vertical="center"/>
    </xf>
    <xf numFmtId="167" fontId="31" fillId="8" borderId="0" xfId="1" applyNumberFormat="1" applyFont="1" applyFill="1" applyBorder="1" applyAlignment="1" applyProtection="1">
      <alignment horizontal="center" vertical="center"/>
    </xf>
    <xf numFmtId="2" fontId="31" fillId="3" borderId="12" xfId="1" applyNumberFormat="1" applyFont="1" applyFill="1" applyBorder="1" applyAlignment="1" applyProtection="1">
      <alignment horizontal="center" vertical="center"/>
    </xf>
    <xf numFmtId="2" fontId="31" fillId="3" borderId="57" xfId="1" applyNumberFormat="1" applyFont="1" applyFill="1" applyBorder="1" applyAlignment="1" applyProtection="1">
      <alignment horizontal="center" vertical="center"/>
    </xf>
    <xf numFmtId="166" fontId="31" fillId="4" borderId="109" xfId="1" applyNumberFormat="1" applyFont="1" applyFill="1" applyBorder="1" applyAlignment="1" applyProtection="1">
      <alignment horizontal="center" vertical="center"/>
    </xf>
    <xf numFmtId="164" fontId="31" fillId="5" borderId="119" xfId="2" applyNumberFormat="1" applyFont="1" applyFill="1" applyBorder="1" applyAlignment="1" applyProtection="1">
      <alignment horizontal="center" vertical="center"/>
    </xf>
    <xf numFmtId="0" fontId="31" fillId="0" borderId="11" xfId="1" applyFont="1" applyFill="1" applyBorder="1" applyAlignment="1" applyProtection="1">
      <alignment horizontal="center" vertical="center"/>
    </xf>
    <xf numFmtId="0" fontId="31" fillId="0" borderId="59" xfId="1" applyFont="1" applyFill="1" applyBorder="1" applyAlignment="1" applyProtection="1">
      <alignment horizontal="center" vertical="center"/>
    </xf>
    <xf numFmtId="0" fontId="31" fillId="0" borderId="47" xfId="1" applyFont="1" applyFill="1" applyBorder="1" applyAlignment="1" applyProtection="1">
      <alignment horizontal="center" vertical="center"/>
    </xf>
    <xf numFmtId="0" fontId="31" fillId="6" borderId="47" xfId="1" applyFont="1" applyFill="1" applyBorder="1" applyAlignment="1" applyProtection="1">
      <alignment horizontal="center" vertical="center"/>
    </xf>
    <xf numFmtId="2" fontId="31" fillId="7" borderId="83" xfId="1" applyNumberFormat="1" applyFont="1" applyFill="1" applyBorder="1" applyAlignment="1" applyProtection="1">
      <alignment horizontal="center" vertical="center"/>
    </xf>
    <xf numFmtId="0" fontId="31" fillId="0" borderId="23" xfId="1" applyFont="1" applyFill="1" applyBorder="1" applyAlignment="1" applyProtection="1">
      <alignment horizontal="center" vertical="center"/>
    </xf>
    <xf numFmtId="167" fontId="31" fillId="8" borderId="11" xfId="1" applyNumberFormat="1" applyFont="1" applyFill="1" applyBorder="1" applyAlignment="1" applyProtection="1">
      <alignment horizontal="center" vertical="center"/>
    </xf>
    <xf numFmtId="2" fontId="31" fillId="0" borderId="10" xfId="1" applyNumberFormat="1" applyFont="1" applyFill="1" applyBorder="1" applyAlignment="1" applyProtection="1">
      <alignment horizontal="center" vertical="center"/>
    </xf>
    <xf numFmtId="2" fontId="31" fillId="0" borderId="59" xfId="1" applyNumberFormat="1" applyFont="1" applyFill="1" applyBorder="1" applyAlignment="1" applyProtection="1">
      <alignment horizontal="center" vertical="center"/>
    </xf>
    <xf numFmtId="166" fontId="31" fillId="4" borderId="83" xfId="1" applyNumberFormat="1" applyFont="1" applyFill="1" applyBorder="1" applyAlignment="1" applyProtection="1">
      <alignment horizontal="center" vertical="center"/>
    </xf>
    <xf numFmtId="0" fontId="32" fillId="0" borderId="23" xfId="3" applyFont="1" applyBorder="1" applyAlignment="1">
      <alignment horizontal="left" vertical="center" indent="1"/>
    </xf>
    <xf numFmtId="0" fontId="32" fillId="0" borderId="93" xfId="3" applyFont="1" applyBorder="1" applyAlignment="1">
      <alignment horizontal="left" vertical="center" indent="1"/>
    </xf>
    <xf numFmtId="0" fontId="32" fillId="0" borderId="32" xfId="3" applyFont="1" applyBorder="1" applyAlignment="1">
      <alignment horizontal="left" vertical="center" indent="1" shrinkToFit="1"/>
    </xf>
    <xf numFmtId="164" fontId="31" fillId="0" borderId="47" xfId="2" applyNumberFormat="1" applyFont="1" applyFill="1" applyBorder="1" applyAlignment="1" applyProtection="1">
      <alignment horizontal="center" vertical="center"/>
    </xf>
    <xf numFmtId="2" fontId="31" fillId="0" borderId="121" xfId="0" applyNumberFormat="1" applyFont="1" applyBorder="1" applyAlignment="1">
      <alignment horizontal="center" vertical="center" wrapText="1"/>
    </xf>
    <xf numFmtId="2" fontId="31" fillId="0" borderId="112" xfId="0" applyNumberFormat="1" applyFont="1" applyBorder="1" applyAlignment="1">
      <alignment horizontal="center" vertical="center" wrapText="1"/>
    </xf>
    <xf numFmtId="0" fontId="37" fillId="0" borderId="32" xfId="3" applyFont="1" applyBorder="1" applyAlignment="1">
      <alignment horizontal="left" vertical="center" indent="1" shrinkToFit="1"/>
    </xf>
    <xf numFmtId="164" fontId="38" fillId="0" borderId="23" xfId="2" applyNumberFormat="1" applyFont="1" applyFill="1" applyBorder="1" applyAlignment="1" applyProtection="1">
      <alignment horizontal="center" vertical="center"/>
    </xf>
    <xf numFmtId="164" fontId="38" fillId="0" borderId="47" xfId="2" applyNumberFormat="1" applyFont="1" applyFill="1" applyBorder="1" applyAlignment="1" applyProtection="1">
      <alignment horizontal="center" vertical="center"/>
    </xf>
    <xf numFmtId="164" fontId="38" fillId="9" borderId="98" xfId="2" applyNumberFormat="1" applyFont="1" applyFill="1" applyBorder="1" applyAlignment="1" applyProtection="1">
      <alignment horizontal="center" vertical="center"/>
    </xf>
    <xf numFmtId="0" fontId="38" fillId="0" borderId="11" xfId="0" applyFont="1" applyFill="1" applyBorder="1" applyAlignment="1" applyProtection="1">
      <alignment horizontal="center" vertical="center"/>
    </xf>
    <xf numFmtId="0" fontId="38" fillId="0" borderId="59" xfId="0" applyFont="1" applyFill="1" applyBorder="1" applyAlignment="1" applyProtection="1">
      <alignment horizontal="center" vertical="center"/>
    </xf>
    <xf numFmtId="0" fontId="38" fillId="0" borderId="47" xfId="0" applyFont="1" applyFill="1" applyBorder="1" applyAlignment="1" applyProtection="1">
      <alignment horizontal="center" vertical="center"/>
    </xf>
    <xf numFmtId="0" fontId="38" fillId="6" borderId="47" xfId="0" applyFont="1" applyFill="1" applyBorder="1" applyAlignment="1" applyProtection="1">
      <alignment horizontal="center" vertical="center"/>
    </xf>
    <xf numFmtId="2" fontId="38" fillId="0" borderId="121" xfId="0" applyNumberFormat="1" applyFont="1" applyBorder="1" applyAlignment="1">
      <alignment horizontal="center" vertical="center" wrapText="1"/>
    </xf>
    <xf numFmtId="2" fontId="38" fillId="0" borderId="112" xfId="0" applyNumberFormat="1" applyFont="1" applyBorder="1" applyAlignment="1">
      <alignment horizontal="center" vertical="center" wrapText="1"/>
    </xf>
    <xf numFmtId="2" fontId="39" fillId="7" borderId="83" xfId="1" applyNumberFormat="1" applyFont="1" applyFill="1" applyBorder="1" applyAlignment="1" applyProtection="1">
      <alignment horizontal="center" vertical="center"/>
    </xf>
    <xf numFmtId="0" fontId="38" fillId="0" borderId="23" xfId="0" applyFont="1" applyFill="1" applyBorder="1" applyAlignment="1" applyProtection="1">
      <alignment horizontal="center" vertical="center"/>
    </xf>
    <xf numFmtId="167" fontId="38" fillId="8" borderId="11" xfId="0" applyNumberFormat="1" applyFont="1" applyFill="1" applyBorder="1" applyAlignment="1" applyProtection="1">
      <alignment horizontal="center" vertical="center"/>
    </xf>
    <xf numFmtId="2" fontId="38" fillId="0" borderId="10" xfId="0" applyNumberFormat="1" applyFont="1" applyFill="1" applyBorder="1" applyAlignment="1" applyProtection="1">
      <alignment horizontal="center" vertical="center"/>
    </xf>
    <xf numFmtId="2" fontId="38" fillId="0" borderId="59" xfId="0" applyNumberFormat="1" applyFont="1" applyFill="1" applyBorder="1" applyAlignment="1" applyProtection="1">
      <alignment horizontal="center" vertical="center"/>
    </xf>
    <xf numFmtId="0" fontId="40" fillId="4" borderId="0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 applyProtection="1">
      <alignment horizontal="center" vertical="center"/>
    </xf>
    <xf numFmtId="164" fontId="15" fillId="7" borderId="25" xfId="2" applyNumberFormat="1" applyFont="1" applyFill="1" applyBorder="1" applyAlignment="1" applyProtection="1">
      <alignment horizontal="center" vertical="center"/>
    </xf>
    <xf numFmtId="164" fontId="15" fillId="7" borderId="6" xfId="2" applyNumberFormat="1" applyFont="1" applyFill="1" applyBorder="1" applyAlignment="1" applyProtection="1">
      <alignment horizontal="center" vertical="center"/>
    </xf>
    <xf numFmtId="164" fontId="15" fillId="7" borderId="55" xfId="2" applyNumberFormat="1" applyFont="1" applyFill="1" applyBorder="1" applyAlignment="1" applyProtection="1">
      <alignment horizontal="center" vertical="center"/>
    </xf>
    <xf numFmtId="164" fontId="15" fillId="7" borderId="48" xfId="2" applyNumberFormat="1" applyFont="1" applyFill="1" applyBorder="1" applyAlignment="1" applyProtection="1">
      <alignment horizontal="center" vertical="center"/>
    </xf>
    <xf numFmtId="0" fontId="15" fillId="7" borderId="25" xfId="0" applyFont="1" applyFill="1" applyBorder="1" applyAlignment="1" applyProtection="1">
      <alignment horizontal="center" vertical="center"/>
    </xf>
    <xf numFmtId="0" fontId="15" fillId="7" borderId="48" xfId="0" applyFont="1" applyFill="1" applyBorder="1" applyAlignment="1" applyProtection="1">
      <alignment horizontal="center" vertical="center"/>
    </xf>
    <xf numFmtId="0" fontId="15" fillId="7" borderId="55" xfId="0" applyFont="1" applyFill="1" applyBorder="1" applyAlignment="1" applyProtection="1">
      <alignment horizontal="center" vertical="center"/>
    </xf>
    <xf numFmtId="2" fontId="15" fillId="7" borderId="5" xfId="0" applyNumberFormat="1" applyFont="1" applyFill="1" applyBorder="1" applyAlignment="1" applyProtection="1">
      <alignment horizontal="center" vertical="center"/>
    </xf>
    <xf numFmtId="2" fontId="15" fillId="7" borderId="55" xfId="0" applyNumberFormat="1" applyFont="1" applyFill="1" applyBorder="1" applyAlignment="1" applyProtection="1">
      <alignment horizontal="center" vertical="center"/>
    </xf>
    <xf numFmtId="166" fontId="15" fillId="4" borderId="80" xfId="0" applyNumberFormat="1" applyFont="1" applyFill="1" applyBorder="1" applyAlignment="1" applyProtection="1">
      <alignment horizontal="center" vertical="center"/>
    </xf>
    <xf numFmtId="164" fontId="31" fillId="0" borderId="45" xfId="2" applyNumberFormat="1" applyFont="1" applyFill="1" applyBorder="1" applyAlignment="1" applyProtection="1">
      <alignment horizontal="center" vertical="center"/>
    </xf>
    <xf numFmtId="167" fontId="31" fillId="0" borderId="24" xfId="0" applyNumberFormat="1" applyFont="1" applyFill="1" applyBorder="1" applyAlignment="1" applyProtection="1">
      <alignment horizontal="center" vertical="center"/>
    </xf>
    <xf numFmtId="167" fontId="31" fillId="0" borderId="45" xfId="0" applyNumberFormat="1" applyFont="1" applyFill="1" applyBorder="1" applyAlignment="1" applyProtection="1">
      <alignment horizontal="center" vertical="center"/>
    </xf>
    <xf numFmtId="167" fontId="31" fillId="0" borderId="57" xfId="0" applyNumberFormat="1" applyFont="1" applyFill="1" applyBorder="1" applyAlignment="1" applyProtection="1">
      <alignment horizontal="center" vertical="center"/>
    </xf>
    <xf numFmtId="167" fontId="31" fillId="0" borderId="17" xfId="0" applyNumberFormat="1" applyFont="1" applyFill="1" applyBorder="1" applyAlignment="1" applyProtection="1">
      <alignment horizontal="center" vertical="center"/>
    </xf>
    <xf numFmtId="167" fontId="31" fillId="0" borderId="61" xfId="0" applyNumberFormat="1" applyFont="1" applyFill="1" applyBorder="1" applyAlignment="1" applyProtection="1">
      <alignment horizontal="center" vertical="center"/>
    </xf>
    <xf numFmtId="165" fontId="15" fillId="7" borderId="25" xfId="2" applyNumberFormat="1" applyFont="1" applyFill="1" applyBorder="1" applyAlignment="1" applyProtection="1">
      <alignment horizontal="center" vertical="center"/>
    </xf>
    <xf numFmtId="165" fontId="15" fillId="7" borderId="55" xfId="2" applyNumberFormat="1" applyFont="1" applyFill="1" applyBorder="1" applyAlignment="1" applyProtection="1">
      <alignment horizontal="center" vertical="center"/>
    </xf>
    <xf numFmtId="164" fontId="31" fillId="0" borderId="1" xfId="2" applyNumberFormat="1" applyFont="1" applyFill="1" applyBorder="1" applyAlignment="1" applyProtection="1">
      <alignment horizontal="center" vertical="center"/>
    </xf>
    <xf numFmtId="164" fontId="31" fillId="0" borderId="52" xfId="2" applyNumberFormat="1" applyFont="1" applyFill="1" applyBorder="1" applyAlignment="1" applyProtection="1">
      <alignment horizontal="center" vertical="center"/>
    </xf>
    <xf numFmtId="164" fontId="31" fillId="5" borderId="103" xfId="2" applyNumberFormat="1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 applyProtection="1">
      <alignment horizontal="center" vertical="center"/>
    </xf>
    <xf numFmtId="0" fontId="31" fillId="0" borderId="63" xfId="0" applyFont="1" applyFill="1" applyBorder="1" applyAlignment="1" applyProtection="1">
      <alignment horizontal="center" vertical="center"/>
    </xf>
    <xf numFmtId="0" fontId="31" fillId="0" borderId="52" xfId="0" applyFont="1" applyFill="1" applyBorder="1" applyAlignment="1" applyProtection="1">
      <alignment horizontal="center" vertical="center"/>
    </xf>
    <xf numFmtId="0" fontId="31" fillId="6" borderId="52" xfId="0" applyFont="1" applyFill="1" applyBorder="1" applyAlignment="1" applyProtection="1">
      <alignment horizontal="center" vertical="center"/>
    </xf>
    <xf numFmtId="2" fontId="31" fillId="0" borderId="139" xfId="0" applyNumberFormat="1" applyFont="1" applyBorder="1" applyAlignment="1">
      <alignment horizontal="center" vertical="center" wrapText="1"/>
    </xf>
    <xf numFmtId="2" fontId="31" fillId="0" borderId="63" xfId="0" applyNumberFormat="1" applyFont="1" applyBorder="1" applyAlignment="1">
      <alignment horizontal="center" vertical="center" wrapText="1"/>
    </xf>
    <xf numFmtId="2" fontId="31" fillId="7" borderId="3" xfId="0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horizontal="center" vertical="center"/>
    </xf>
    <xf numFmtId="167" fontId="31" fillId="8" borderId="2" xfId="0" applyNumberFormat="1" applyFont="1" applyFill="1" applyBorder="1" applyAlignment="1" applyProtection="1">
      <alignment horizontal="center" vertical="center"/>
    </xf>
    <xf numFmtId="2" fontId="31" fillId="0" borderId="26" xfId="0" applyNumberFormat="1" applyFont="1" applyFill="1" applyBorder="1" applyAlignment="1" applyProtection="1">
      <alignment horizontal="center" vertical="center"/>
    </xf>
    <xf numFmtId="2" fontId="31" fillId="0" borderId="63" xfId="0" applyNumberFormat="1" applyFont="1" applyFill="1" applyBorder="1" applyAlignment="1" applyProtection="1">
      <alignment horizontal="center" vertical="center"/>
    </xf>
    <xf numFmtId="166" fontId="31" fillId="4" borderId="3" xfId="0" applyNumberFormat="1" applyFont="1" applyFill="1" applyBorder="1" applyAlignment="1" applyProtection="1">
      <alignment horizontal="center" vertical="center"/>
    </xf>
    <xf numFmtId="0" fontId="31" fillId="0" borderId="9" xfId="0" applyFont="1" applyFill="1" applyBorder="1" applyAlignment="1" applyProtection="1">
      <alignment horizontal="left" vertical="center" indent="1" shrinkToFit="1"/>
    </xf>
    <xf numFmtId="164" fontId="31" fillId="0" borderId="93" xfId="2" applyNumberFormat="1" applyFont="1" applyFill="1" applyBorder="1" applyAlignment="1" applyProtection="1">
      <alignment horizontal="center" vertical="center"/>
    </xf>
    <xf numFmtId="164" fontId="31" fillId="0" borderId="131" xfId="2" applyNumberFormat="1" applyFont="1" applyFill="1" applyBorder="1" applyAlignment="1" applyProtection="1">
      <alignment horizontal="center" vertical="center"/>
    </xf>
    <xf numFmtId="164" fontId="31" fillId="5" borderId="129" xfId="2" applyNumberFormat="1" applyFont="1" applyFill="1" applyBorder="1" applyAlignment="1" applyProtection="1">
      <alignment horizontal="center" vertical="center"/>
    </xf>
    <xf numFmtId="0" fontId="31" fillId="0" borderId="130" xfId="0" applyFont="1" applyFill="1" applyBorder="1" applyAlignment="1" applyProtection="1">
      <alignment horizontal="center" vertical="center"/>
    </xf>
    <xf numFmtId="0" fontId="31" fillId="0" borderId="112" xfId="0" applyFont="1" applyFill="1" applyBorder="1" applyAlignment="1" applyProtection="1">
      <alignment horizontal="center" vertical="center"/>
    </xf>
    <xf numFmtId="0" fontId="31" fillId="0" borderId="131" xfId="0" applyFont="1" applyFill="1" applyBorder="1" applyAlignment="1" applyProtection="1">
      <alignment horizontal="center" vertical="center"/>
    </xf>
    <xf numFmtId="0" fontId="31" fillId="6" borderId="131" xfId="0" applyFont="1" applyFill="1" applyBorder="1" applyAlignment="1" applyProtection="1">
      <alignment horizontal="center" vertical="center"/>
    </xf>
    <xf numFmtId="0" fontId="31" fillId="0" borderId="121" xfId="0" applyFont="1" applyFill="1" applyBorder="1" applyAlignment="1" applyProtection="1">
      <alignment horizontal="center" vertical="center"/>
    </xf>
    <xf numFmtId="2" fontId="31" fillId="7" borderId="134" xfId="0" applyNumberFormat="1" applyFont="1" applyFill="1" applyBorder="1" applyAlignment="1" applyProtection="1">
      <alignment horizontal="center" vertical="center"/>
    </xf>
    <xf numFmtId="0" fontId="31" fillId="0" borderId="93" xfId="0" applyFont="1" applyFill="1" applyBorder="1" applyAlignment="1" applyProtection="1">
      <alignment horizontal="center" vertical="center"/>
    </xf>
    <xf numFmtId="167" fontId="31" fillId="8" borderId="130" xfId="0" applyNumberFormat="1" applyFont="1" applyFill="1" applyBorder="1" applyAlignment="1" applyProtection="1">
      <alignment horizontal="center" vertical="center"/>
    </xf>
    <xf numFmtId="2" fontId="31" fillId="0" borderId="133" xfId="0" applyNumberFormat="1" applyFont="1" applyFill="1" applyBorder="1" applyAlignment="1" applyProtection="1">
      <alignment horizontal="center" vertical="center"/>
    </xf>
    <xf numFmtId="2" fontId="31" fillId="0" borderId="112" xfId="0" applyNumberFormat="1" applyFont="1" applyFill="1" applyBorder="1" applyAlignment="1" applyProtection="1">
      <alignment horizontal="center" vertical="center"/>
    </xf>
    <xf numFmtId="166" fontId="31" fillId="4" borderId="134" xfId="1" applyNumberFormat="1" applyFont="1" applyFill="1" applyBorder="1" applyAlignment="1" applyProtection="1">
      <alignment horizontal="center" vertical="center"/>
    </xf>
    <xf numFmtId="0" fontId="31" fillId="0" borderId="11" xfId="0" applyFont="1" applyFill="1" applyBorder="1" applyAlignment="1" applyProtection="1">
      <alignment horizontal="center" vertical="center" shrinkToFit="1"/>
    </xf>
    <xf numFmtId="0" fontId="31" fillId="0" borderId="59" xfId="0" applyFont="1" applyFill="1" applyBorder="1" applyAlignment="1" applyProtection="1">
      <alignment horizontal="center" vertical="center" shrinkToFit="1"/>
    </xf>
    <xf numFmtId="0" fontId="31" fillId="0" borderId="47" xfId="0" applyFont="1" applyFill="1" applyBorder="1" applyAlignment="1" applyProtection="1">
      <alignment horizontal="center" vertical="center" shrinkToFit="1"/>
    </xf>
    <xf numFmtId="0" fontId="31" fillId="6" borderId="47" xfId="0" applyFont="1" applyFill="1" applyBorder="1" applyAlignment="1" applyProtection="1">
      <alignment horizontal="center" vertical="center" shrinkToFit="1"/>
    </xf>
    <xf numFmtId="2" fontId="31" fillId="0" borderId="32" xfId="0" applyNumberFormat="1" applyFont="1" applyBorder="1" applyAlignment="1">
      <alignment horizontal="center" vertical="center" wrapText="1"/>
    </xf>
    <xf numFmtId="2" fontId="31" fillId="7" borderId="83" xfId="0" applyNumberFormat="1" applyFont="1" applyFill="1" applyBorder="1" applyAlignment="1" applyProtection="1">
      <alignment horizontal="center" vertical="center" shrinkToFit="1"/>
    </xf>
    <xf numFmtId="0" fontId="31" fillId="0" borderId="23" xfId="0" applyFont="1" applyFill="1" applyBorder="1" applyAlignment="1" applyProtection="1">
      <alignment horizontal="center" vertical="center" shrinkToFit="1"/>
    </xf>
    <xf numFmtId="167" fontId="31" fillId="8" borderId="11" xfId="0" applyNumberFormat="1" applyFont="1" applyFill="1" applyBorder="1" applyAlignment="1" applyProtection="1">
      <alignment horizontal="center" vertical="center" shrinkToFit="1"/>
    </xf>
    <xf numFmtId="2" fontId="31" fillId="0" borderId="10" xfId="0" applyNumberFormat="1" applyFont="1" applyFill="1" applyBorder="1" applyAlignment="1" applyProtection="1">
      <alignment horizontal="center" vertical="center" shrinkToFit="1"/>
    </xf>
    <xf numFmtId="2" fontId="31" fillId="0" borderId="59" xfId="0" applyNumberFormat="1" applyFont="1" applyFill="1" applyBorder="1" applyAlignment="1" applyProtection="1">
      <alignment horizontal="center" vertical="center" shrinkToFit="1"/>
    </xf>
    <xf numFmtId="0" fontId="31" fillId="0" borderId="120" xfId="0" applyFont="1" applyFill="1" applyBorder="1" applyAlignment="1" applyProtection="1">
      <alignment horizontal="center" vertical="center"/>
    </xf>
    <xf numFmtId="2" fontId="31" fillId="0" borderId="62" xfId="0" applyNumberFormat="1" applyFont="1" applyBorder="1" applyAlignment="1">
      <alignment horizontal="center" vertical="center" wrapText="1"/>
    </xf>
    <xf numFmtId="0" fontId="27" fillId="0" borderId="139" xfId="0" applyFont="1" applyFill="1" applyBorder="1" applyAlignment="1" applyProtection="1">
      <alignment horizontal="center" vertical="center"/>
    </xf>
    <xf numFmtId="0" fontId="31" fillId="0" borderId="27" xfId="0" applyFont="1" applyFill="1" applyBorder="1" applyAlignment="1" applyProtection="1">
      <alignment horizontal="left" vertical="center" indent="1"/>
    </xf>
    <xf numFmtId="164" fontId="31" fillId="0" borderId="29" xfId="2" applyNumberFormat="1" applyFont="1" applyFill="1" applyBorder="1" applyAlignment="1" applyProtection="1">
      <alignment horizontal="center" vertical="center"/>
    </xf>
    <xf numFmtId="164" fontId="31" fillId="0" borderId="53" xfId="2" applyNumberFormat="1" applyFont="1" applyFill="1" applyBorder="1" applyAlignment="1" applyProtection="1">
      <alignment horizontal="center" vertical="center"/>
    </xf>
    <xf numFmtId="164" fontId="31" fillId="5" borderId="104" xfId="2" applyNumberFormat="1" applyFont="1" applyFill="1" applyBorder="1" applyAlignment="1" applyProtection="1">
      <alignment horizontal="center" vertical="center"/>
    </xf>
    <xf numFmtId="0" fontId="31" fillId="0" borderId="35" xfId="0" applyFont="1" applyFill="1" applyBorder="1" applyAlignment="1" applyProtection="1">
      <alignment horizontal="center" vertical="center"/>
    </xf>
    <xf numFmtId="0" fontId="31" fillId="0" borderId="64" xfId="0" applyFont="1" applyFill="1" applyBorder="1" applyAlignment="1" applyProtection="1">
      <alignment horizontal="center" vertical="center"/>
    </xf>
    <xf numFmtId="0" fontId="31" fillId="0" borderId="53" xfId="0" applyFont="1" applyFill="1" applyBorder="1" applyAlignment="1" applyProtection="1">
      <alignment horizontal="center" vertical="center"/>
    </xf>
    <xf numFmtId="0" fontId="31" fillId="6" borderId="53" xfId="0" applyFont="1" applyFill="1" applyBorder="1" applyAlignment="1" applyProtection="1">
      <alignment horizontal="center" vertical="center"/>
    </xf>
    <xf numFmtId="2" fontId="31" fillId="7" borderId="115" xfId="0" applyNumberFormat="1" applyFont="1" applyFill="1" applyBorder="1" applyAlignment="1" applyProtection="1">
      <alignment horizontal="center" vertical="center"/>
    </xf>
    <xf numFmtId="0" fontId="31" fillId="0" borderId="29" xfId="0" applyFont="1" applyFill="1" applyBorder="1" applyAlignment="1" applyProtection="1">
      <alignment horizontal="center" vertical="center"/>
    </xf>
    <xf numFmtId="167" fontId="31" fillId="8" borderId="35" xfId="0" applyNumberFormat="1" applyFont="1" applyFill="1" applyBorder="1" applyAlignment="1" applyProtection="1">
      <alignment horizontal="center" vertical="center"/>
    </xf>
    <xf numFmtId="2" fontId="31" fillId="0" borderId="28" xfId="0" applyNumberFormat="1" applyFont="1" applyFill="1" applyBorder="1" applyAlignment="1" applyProtection="1">
      <alignment horizontal="center" vertical="center"/>
    </xf>
    <xf numFmtId="2" fontId="31" fillId="0" borderId="64" xfId="0" applyNumberFormat="1" applyFont="1" applyFill="1" applyBorder="1" applyAlignment="1" applyProtection="1">
      <alignment horizontal="center" vertical="center"/>
    </xf>
    <xf numFmtId="166" fontId="31" fillId="4" borderId="115" xfId="0" applyNumberFormat="1" applyFont="1" applyFill="1" applyBorder="1" applyAlignment="1" applyProtection="1">
      <alignment horizontal="center" vertical="center"/>
    </xf>
    <xf numFmtId="164" fontId="15" fillId="7" borderId="74" xfId="2" applyNumberFormat="1" applyFont="1" applyFill="1" applyBorder="1" applyAlignment="1" applyProtection="1">
      <alignment horizontal="center" vertical="center"/>
    </xf>
    <xf numFmtId="164" fontId="15" fillId="7" borderId="38" xfId="2" applyNumberFormat="1" applyFont="1" applyFill="1" applyBorder="1" applyAlignment="1" applyProtection="1">
      <alignment horizontal="center" vertical="center"/>
    </xf>
    <xf numFmtId="165" fontId="15" fillId="7" borderId="74" xfId="2" applyNumberFormat="1" applyFont="1" applyFill="1" applyBorder="1" applyAlignment="1" applyProtection="1">
      <alignment horizontal="center" vertical="center"/>
    </xf>
    <xf numFmtId="0" fontId="14" fillId="0" borderId="0" xfId="0" applyFont="1"/>
    <xf numFmtId="0" fontId="15" fillId="7" borderId="20" xfId="0" applyFont="1" applyFill="1" applyBorder="1" applyAlignment="1" applyProtection="1">
      <alignment horizontal="center" vertical="center"/>
    </xf>
    <xf numFmtId="164" fontId="15" fillId="7" borderId="20" xfId="2" applyNumberFormat="1" applyFont="1" applyFill="1" applyBorder="1" applyAlignment="1" applyProtection="1">
      <alignment horizontal="center" vertical="center"/>
    </xf>
    <xf numFmtId="164" fontId="15" fillId="7" borderId="50" xfId="2" applyNumberFormat="1" applyFont="1" applyFill="1" applyBorder="1" applyAlignment="1" applyProtection="1">
      <alignment horizontal="center" vertical="center"/>
    </xf>
    <xf numFmtId="164" fontId="15" fillId="5" borderId="97" xfId="2" applyNumberFormat="1" applyFont="1" applyFill="1" applyBorder="1" applyAlignment="1" applyProtection="1">
      <alignment horizontal="center" vertical="center"/>
    </xf>
    <xf numFmtId="164" fontId="15" fillId="7" borderId="40" xfId="2" applyNumberFormat="1" applyFont="1" applyFill="1" applyBorder="1" applyAlignment="1" applyProtection="1">
      <alignment horizontal="center" vertical="center"/>
    </xf>
    <xf numFmtId="164" fontId="15" fillId="7" borderId="61" xfId="2" applyNumberFormat="1" applyFont="1" applyFill="1" applyBorder="1" applyAlignment="1" applyProtection="1">
      <alignment horizontal="center" vertical="center"/>
    </xf>
    <xf numFmtId="164" fontId="15" fillId="6" borderId="50" xfId="2" applyNumberFormat="1" applyFont="1" applyFill="1" applyBorder="1" applyAlignment="1" applyProtection="1">
      <alignment horizontal="center" vertical="center"/>
    </xf>
    <xf numFmtId="165" fontId="15" fillId="7" borderId="118" xfId="2" applyNumberFormat="1" applyFont="1" applyFill="1" applyBorder="1" applyAlignment="1" applyProtection="1">
      <alignment horizontal="center" vertical="center"/>
    </xf>
    <xf numFmtId="165" fontId="15" fillId="7" borderId="61" xfId="2" applyNumberFormat="1" applyFont="1" applyFill="1" applyBorder="1" applyAlignment="1" applyProtection="1">
      <alignment horizontal="center" vertical="center"/>
    </xf>
    <xf numFmtId="2" fontId="15" fillId="7" borderId="78" xfId="0" applyNumberFormat="1" applyFont="1" applyFill="1" applyBorder="1" applyAlignment="1" applyProtection="1">
      <alignment horizontal="center" vertical="center"/>
    </xf>
    <xf numFmtId="0" fontId="15" fillId="7" borderId="61" xfId="0" applyFont="1" applyFill="1" applyBorder="1" applyAlignment="1" applyProtection="1">
      <alignment horizontal="center" vertical="center"/>
    </xf>
    <xf numFmtId="167" fontId="15" fillId="8" borderId="40" xfId="0" applyNumberFormat="1" applyFont="1" applyFill="1" applyBorder="1" applyAlignment="1" applyProtection="1">
      <alignment horizontal="center" vertical="center"/>
    </xf>
    <xf numFmtId="2" fontId="15" fillId="7" borderId="17" xfId="0" applyNumberFormat="1" applyFont="1" applyFill="1" applyBorder="1" applyAlignment="1" applyProtection="1">
      <alignment horizontal="center" vertical="center"/>
    </xf>
    <xf numFmtId="2" fontId="15" fillId="7" borderId="61" xfId="0" applyNumberFormat="1" applyFont="1" applyFill="1" applyBorder="1" applyAlignment="1" applyProtection="1">
      <alignment horizontal="center" vertical="center"/>
    </xf>
    <xf numFmtId="166" fontId="15" fillId="4" borderId="78" xfId="0" applyNumberFormat="1" applyFont="1" applyFill="1" applyBorder="1" applyAlignment="1" applyProtection="1">
      <alignment horizontal="center" vertical="center"/>
    </xf>
    <xf numFmtId="167" fontId="15" fillId="8" borderId="56" xfId="0" applyNumberFormat="1" applyFont="1" applyFill="1" applyBorder="1" applyAlignment="1" applyProtection="1">
      <alignment horizontal="center" vertical="center"/>
    </xf>
    <xf numFmtId="164" fontId="15" fillId="7" borderId="106" xfId="2" applyNumberFormat="1" applyFont="1" applyFill="1" applyBorder="1" applyAlignment="1" applyProtection="1">
      <alignment horizontal="center" vertical="center"/>
    </xf>
    <xf numFmtId="164" fontId="15" fillId="7" borderId="107" xfId="2" applyNumberFormat="1" applyFont="1" applyFill="1" applyBorder="1" applyAlignment="1" applyProtection="1">
      <alignment horizontal="center" vertical="center"/>
    </xf>
    <xf numFmtId="164" fontId="15" fillId="5" borderId="106" xfId="2" applyNumberFormat="1" applyFont="1" applyFill="1" applyBorder="1" applyAlignment="1" applyProtection="1">
      <alignment horizontal="center" vertical="center"/>
    </xf>
    <xf numFmtId="164" fontId="15" fillId="7" borderId="95" xfId="2" applyNumberFormat="1" applyFont="1" applyFill="1" applyBorder="1" applyAlignment="1" applyProtection="1">
      <alignment horizontal="center" vertical="center"/>
    </xf>
    <xf numFmtId="164" fontId="15" fillId="6" borderId="141" xfId="2" applyNumberFormat="1" applyFont="1" applyFill="1" applyBorder="1" applyAlignment="1" applyProtection="1">
      <alignment horizontal="center" vertical="center"/>
    </xf>
    <xf numFmtId="165" fontId="15" fillId="7" borderId="142" xfId="2" applyNumberFormat="1" applyFont="1" applyFill="1" applyBorder="1" applyAlignment="1" applyProtection="1">
      <alignment horizontal="center" vertical="center"/>
    </xf>
    <xf numFmtId="165" fontId="15" fillId="7" borderId="95" xfId="2" applyNumberFormat="1" applyFont="1" applyFill="1" applyBorder="1" applyAlignment="1" applyProtection="1">
      <alignment horizontal="center" vertical="center"/>
    </xf>
    <xf numFmtId="2" fontId="15" fillId="7" borderId="116" xfId="0" applyNumberFormat="1" applyFont="1" applyFill="1" applyBorder="1" applyAlignment="1" applyProtection="1">
      <alignment horizontal="center" vertical="center"/>
    </xf>
    <xf numFmtId="0" fontId="15" fillId="7" borderId="106" xfId="0" applyFont="1" applyFill="1" applyBorder="1" applyAlignment="1" applyProtection="1">
      <alignment horizontal="center" vertical="center"/>
    </xf>
    <xf numFmtId="0" fontId="15" fillId="7" borderId="95" xfId="0" applyFont="1" applyFill="1" applyBorder="1" applyAlignment="1" applyProtection="1">
      <alignment horizontal="center" vertical="center"/>
    </xf>
    <xf numFmtId="167" fontId="15" fillId="8" borderId="37" xfId="0" applyNumberFormat="1" applyFont="1" applyFill="1" applyBorder="1" applyAlignment="1" applyProtection="1">
      <alignment horizontal="center" vertical="center"/>
    </xf>
    <xf numFmtId="2" fontId="15" fillId="7" borderId="36" xfId="0" applyNumberFormat="1" applyFont="1" applyFill="1" applyBorder="1" applyAlignment="1" applyProtection="1">
      <alignment horizontal="center" vertical="center"/>
    </xf>
    <xf numFmtId="2" fontId="15" fillId="7" borderId="95" xfId="0" applyNumberFormat="1" applyFont="1" applyFill="1" applyBorder="1" applyAlignment="1" applyProtection="1">
      <alignment horizontal="center" vertical="center"/>
    </xf>
    <xf numFmtId="166" fontId="15" fillId="4" borderId="116" xfId="0" applyNumberFormat="1" applyFont="1" applyFill="1" applyBorder="1" applyAlignment="1" applyProtection="1">
      <alignment horizontal="center" vertical="center"/>
    </xf>
    <xf numFmtId="166" fontId="27" fillId="0" borderId="0" xfId="0" applyNumberFormat="1" applyFont="1" applyBorder="1" applyAlignment="1">
      <alignment horizontal="left" wrapText="1"/>
    </xf>
    <xf numFmtId="0" fontId="27" fillId="0" borderId="0" xfId="0" applyFont="1" applyFill="1"/>
    <xf numFmtId="0" fontId="41" fillId="0" borderId="0" xfId="0" applyFont="1"/>
    <xf numFmtId="166" fontId="41" fillId="0" borderId="0" xfId="0" applyNumberFormat="1" applyFont="1"/>
    <xf numFmtId="49" fontId="27" fillId="0" borderId="0" xfId="0" applyNumberFormat="1" applyFont="1" applyFill="1" applyBorder="1" applyAlignment="1">
      <alignment wrapText="1"/>
    </xf>
    <xf numFmtId="167" fontId="41" fillId="0" borderId="0" xfId="0" applyNumberFormat="1" applyFont="1"/>
    <xf numFmtId="166" fontId="27" fillId="0" borderId="0" xfId="0" applyNumberFormat="1" applyFont="1" applyBorder="1" applyAlignment="1">
      <alignment horizontal="right"/>
    </xf>
    <xf numFmtId="49" fontId="41" fillId="0" borderId="0" xfId="0" applyNumberFormat="1" applyFont="1"/>
    <xf numFmtId="0" fontId="41" fillId="0" borderId="0" xfId="0" applyFont="1" applyAlignment="1">
      <alignment horizontal="center"/>
    </xf>
    <xf numFmtId="2" fontId="41" fillId="0" borderId="0" xfId="0" applyNumberFormat="1" applyFont="1"/>
    <xf numFmtId="0" fontId="41" fillId="0" borderId="0" xfId="0" applyFont="1" applyFill="1"/>
    <xf numFmtId="0" fontId="44" fillId="0" borderId="24" xfId="3" applyFont="1" applyBorder="1" applyAlignment="1">
      <alignment horizontal="left" vertical="center" indent="1" shrinkToFit="1"/>
    </xf>
    <xf numFmtId="0" fontId="42" fillId="4" borderId="48" xfId="0" applyFont="1" applyFill="1" applyBorder="1" applyAlignment="1">
      <alignment horizontal="center" vertical="center" wrapText="1"/>
    </xf>
    <xf numFmtId="0" fontId="43" fillId="4" borderId="45" xfId="0" applyFont="1" applyFill="1" applyBorder="1" applyAlignment="1">
      <alignment horizontal="center" vertical="center" wrapText="1"/>
    </xf>
    <xf numFmtId="0" fontId="39" fillId="4" borderId="50" xfId="0" applyFont="1" applyFill="1" applyBorder="1" applyAlignment="1">
      <alignment horizontal="center" vertical="center" wrapText="1"/>
    </xf>
    <xf numFmtId="0" fontId="39" fillId="4" borderId="47" xfId="0" applyFont="1" applyFill="1" applyBorder="1" applyAlignment="1">
      <alignment horizontal="center" vertical="center" wrapText="1"/>
    </xf>
    <xf numFmtId="164" fontId="40" fillId="4" borderId="48" xfId="2" applyNumberFormat="1" applyFont="1" applyFill="1" applyBorder="1" applyAlignment="1" applyProtection="1">
      <alignment horizontal="center" vertical="center"/>
    </xf>
    <xf numFmtId="0" fontId="40" fillId="4" borderId="123" xfId="0" applyFont="1" applyFill="1" applyBorder="1" applyAlignment="1" applyProtection="1">
      <alignment horizontal="center" vertical="center"/>
    </xf>
    <xf numFmtId="0" fontId="39" fillId="4" borderId="47" xfId="0" applyFont="1" applyFill="1" applyBorder="1" applyAlignment="1" applyProtection="1">
      <alignment horizontal="center" vertical="center"/>
    </xf>
    <xf numFmtId="0" fontId="44" fillId="4" borderId="131" xfId="0" applyFont="1" applyFill="1" applyBorder="1" applyAlignment="1" applyProtection="1">
      <alignment horizontal="center" vertical="center"/>
    </xf>
    <xf numFmtId="0" fontId="44" fillId="4" borderId="51" xfId="0" applyFont="1" applyFill="1" applyBorder="1" applyAlignment="1" applyProtection="1">
      <alignment horizontal="center" vertical="center"/>
    </xf>
    <xf numFmtId="0" fontId="39" fillId="4" borderId="51" xfId="0" applyFont="1" applyFill="1" applyBorder="1" applyAlignment="1" applyProtection="1">
      <alignment horizontal="center" vertical="center"/>
    </xf>
    <xf numFmtId="0" fontId="40" fillId="4" borderId="52" xfId="0" applyFont="1" applyFill="1" applyBorder="1" applyAlignment="1" applyProtection="1">
      <alignment horizontal="center" vertical="center"/>
    </xf>
    <xf numFmtId="0" fontId="39" fillId="4" borderId="50" xfId="0" applyFont="1" applyFill="1" applyBorder="1" applyAlignment="1" applyProtection="1">
      <alignment horizontal="center" vertical="center"/>
    </xf>
    <xf numFmtId="0" fontId="39" fillId="4" borderId="45" xfId="0" applyFont="1" applyFill="1" applyBorder="1" applyAlignment="1" applyProtection="1">
      <alignment horizontal="center" vertical="center"/>
    </xf>
    <xf numFmtId="0" fontId="39" fillId="4" borderId="46" xfId="1" applyFont="1" applyFill="1" applyBorder="1" applyAlignment="1" applyProtection="1">
      <alignment horizontal="center" vertical="center"/>
    </xf>
    <xf numFmtId="0" fontId="39" fillId="4" borderId="45" xfId="1" applyFont="1" applyFill="1" applyBorder="1" applyAlignment="1" applyProtection="1">
      <alignment horizontal="center" vertical="center"/>
    </xf>
    <xf numFmtId="0" fontId="39" fillId="4" borderId="47" xfId="1" applyFont="1" applyFill="1" applyBorder="1" applyAlignment="1" applyProtection="1">
      <alignment horizontal="center" vertical="center"/>
    </xf>
    <xf numFmtId="0" fontId="39" fillId="4" borderId="52" xfId="0" applyFont="1" applyFill="1" applyBorder="1" applyAlignment="1" applyProtection="1">
      <alignment horizontal="center" vertical="center"/>
    </xf>
    <xf numFmtId="0" fontId="39" fillId="4" borderId="131" xfId="0" applyFont="1" applyFill="1" applyBorder="1" applyAlignment="1" applyProtection="1">
      <alignment horizontal="center" vertical="center"/>
    </xf>
    <xf numFmtId="0" fontId="39" fillId="4" borderId="47" xfId="0" applyFont="1" applyFill="1" applyBorder="1" applyAlignment="1" applyProtection="1">
      <alignment horizontal="center" vertical="center" shrinkToFit="1"/>
    </xf>
    <xf numFmtId="0" fontId="39" fillId="4" borderId="53" xfId="0" applyFont="1" applyFill="1" applyBorder="1" applyAlignment="1" applyProtection="1">
      <alignment horizontal="center" vertical="center"/>
    </xf>
    <xf numFmtId="164" fontId="40" fillId="4" borderId="50" xfId="2" applyNumberFormat="1" applyFont="1" applyFill="1" applyBorder="1" applyAlignment="1" applyProtection="1">
      <alignment horizontal="center" vertical="center"/>
    </xf>
    <xf numFmtId="164" fontId="40" fillId="4" borderId="37" xfId="2" applyNumberFormat="1" applyFont="1" applyFill="1" applyBorder="1" applyAlignment="1" applyProtection="1">
      <alignment horizontal="center" vertical="center"/>
    </xf>
    <xf numFmtId="0" fontId="40" fillId="4" borderId="0" xfId="0" applyFont="1" applyFill="1"/>
    <xf numFmtId="49" fontId="40" fillId="4" borderId="0" xfId="0" applyNumberFormat="1" applyFont="1" applyFill="1" applyBorder="1" applyAlignment="1">
      <alignment wrapText="1"/>
    </xf>
    <xf numFmtId="0" fontId="24" fillId="4" borderId="0" xfId="0" applyFont="1" applyFill="1"/>
    <xf numFmtId="0" fontId="45" fillId="4" borderId="55" xfId="0" applyFont="1" applyFill="1" applyBorder="1" applyAlignment="1">
      <alignment horizontal="center" vertical="top" wrapText="1"/>
    </xf>
    <xf numFmtId="0" fontId="43" fillId="4" borderId="65" xfId="0" applyFont="1" applyFill="1" applyBorder="1" applyAlignment="1">
      <alignment horizontal="center" vertical="center" wrapText="1"/>
    </xf>
    <xf numFmtId="0" fontId="39" fillId="4" borderId="69" xfId="0" applyFont="1" applyFill="1" applyBorder="1" applyAlignment="1">
      <alignment horizontal="center" vertical="center" wrapText="1"/>
    </xf>
    <xf numFmtId="0" fontId="39" fillId="4" borderId="59" xfId="0" applyFont="1" applyFill="1" applyBorder="1" applyAlignment="1">
      <alignment horizontal="center" vertical="center" wrapText="1"/>
    </xf>
    <xf numFmtId="0" fontId="44" fillId="4" borderId="59" xfId="0" applyFont="1" applyFill="1" applyBorder="1" applyAlignment="1">
      <alignment horizontal="right" vertical="center" wrapText="1"/>
    </xf>
    <xf numFmtId="0" fontId="44" fillId="4" borderId="67" xfId="0" applyFont="1" applyFill="1" applyBorder="1" applyAlignment="1">
      <alignment horizontal="right" vertical="center" wrapText="1"/>
    </xf>
    <xf numFmtId="0" fontId="44" fillId="4" borderId="65" xfId="0" applyFont="1" applyFill="1" applyBorder="1" applyAlignment="1">
      <alignment horizontal="right" vertical="center" wrapText="1"/>
    </xf>
    <xf numFmtId="0" fontId="40" fillId="4" borderId="55" xfId="0" applyFont="1" applyFill="1" applyBorder="1" applyAlignment="1" applyProtection="1">
      <alignment horizontal="center" vertical="center"/>
    </xf>
    <xf numFmtId="0" fontId="40" fillId="4" borderId="124" xfId="0" applyFont="1" applyFill="1" applyBorder="1" applyAlignment="1" applyProtection="1">
      <alignment horizontal="center" vertical="center"/>
    </xf>
    <xf numFmtId="0" fontId="39" fillId="4" borderId="67" xfId="0" applyFont="1" applyFill="1" applyBorder="1" applyAlignment="1" applyProtection="1">
      <alignment horizontal="center" vertical="center"/>
    </xf>
    <xf numFmtId="0" fontId="44" fillId="4" borderId="112" xfId="0" applyFont="1" applyFill="1" applyBorder="1" applyAlignment="1" applyProtection="1">
      <alignment horizontal="center" vertical="center"/>
    </xf>
    <xf numFmtId="0" fontId="44" fillId="4" borderId="67" xfId="0" applyFont="1" applyFill="1" applyBorder="1" applyAlignment="1" applyProtection="1">
      <alignment horizontal="center" vertical="center"/>
    </xf>
    <xf numFmtId="0" fontId="39" fillId="4" borderId="70" xfId="0" applyFont="1" applyFill="1" applyBorder="1" applyAlignment="1" applyProtection="1">
      <alignment horizontal="center" vertical="center"/>
    </xf>
    <xf numFmtId="0" fontId="40" fillId="4" borderId="71" xfId="0" applyFont="1" applyFill="1" applyBorder="1" applyAlignment="1" applyProtection="1">
      <alignment horizontal="center" vertical="center"/>
    </xf>
    <xf numFmtId="0" fontId="39" fillId="4" borderId="69" xfId="0" applyFont="1" applyFill="1" applyBorder="1" applyAlignment="1" applyProtection="1">
      <alignment horizontal="center" vertical="center"/>
    </xf>
    <xf numFmtId="0" fontId="39" fillId="4" borderId="65" xfId="0" applyFont="1" applyFill="1" applyBorder="1" applyAlignment="1" applyProtection="1">
      <alignment horizontal="center" vertical="center"/>
    </xf>
    <xf numFmtId="0" fontId="40" fillId="4" borderId="55" xfId="0" applyFont="1" applyFill="1" applyBorder="1" applyAlignment="1" applyProtection="1">
      <alignment horizontal="center" vertical="center" shrinkToFit="1"/>
    </xf>
    <xf numFmtId="0" fontId="39" fillId="4" borderId="66" xfId="1" applyFont="1" applyFill="1" applyBorder="1" applyAlignment="1" applyProtection="1">
      <alignment horizontal="center" vertical="center"/>
    </xf>
    <xf numFmtId="0" fontId="39" fillId="4" borderId="65" xfId="1" applyFont="1" applyFill="1" applyBorder="1" applyAlignment="1" applyProtection="1">
      <alignment horizontal="center" vertical="center"/>
    </xf>
    <xf numFmtId="0" fontId="39" fillId="4" borderId="67" xfId="1" applyFont="1" applyFill="1" applyBorder="1" applyAlignment="1" applyProtection="1">
      <alignment horizontal="center" vertical="center"/>
    </xf>
    <xf numFmtId="167" fontId="39" fillId="4" borderId="65" xfId="0" applyNumberFormat="1" applyFont="1" applyFill="1" applyBorder="1" applyAlignment="1" applyProtection="1">
      <alignment horizontal="center" vertical="center"/>
    </xf>
    <xf numFmtId="0" fontId="39" fillId="4" borderId="63" xfId="0" applyFont="1" applyFill="1" applyBorder="1" applyAlignment="1" applyProtection="1">
      <alignment horizontal="center" vertical="center"/>
    </xf>
    <xf numFmtId="0" fontId="39" fillId="4" borderId="140" xfId="0" applyFont="1" applyFill="1" applyBorder="1" applyAlignment="1" applyProtection="1">
      <alignment horizontal="center" vertical="center"/>
    </xf>
    <xf numFmtId="0" fontId="39" fillId="4" borderId="67" xfId="0" applyFont="1" applyFill="1" applyBorder="1" applyAlignment="1" applyProtection="1">
      <alignment horizontal="center" vertical="center" shrinkToFit="1"/>
    </xf>
    <xf numFmtId="0" fontId="39" fillId="4" borderId="72" xfId="0" applyFont="1" applyFill="1" applyBorder="1" applyAlignment="1" applyProtection="1">
      <alignment horizontal="center" vertical="center"/>
    </xf>
    <xf numFmtId="0" fontId="40" fillId="4" borderId="61" xfId="0" applyFont="1" applyFill="1" applyBorder="1" applyAlignment="1" applyProtection="1">
      <alignment horizontal="center" vertical="center"/>
    </xf>
    <xf numFmtId="0" fontId="40" fillId="4" borderId="95" xfId="0" applyFont="1" applyFill="1" applyBorder="1" applyAlignment="1" applyProtection="1">
      <alignment horizontal="center" vertical="center"/>
    </xf>
    <xf numFmtId="0" fontId="42" fillId="4" borderId="75" xfId="0" applyFont="1" applyFill="1" applyBorder="1" applyAlignment="1">
      <alignment horizontal="center" vertical="center" wrapText="1"/>
    </xf>
    <xf numFmtId="0" fontId="43" fillId="4" borderId="87" xfId="0" applyFont="1" applyFill="1" applyBorder="1" applyAlignment="1">
      <alignment horizontal="center" vertical="center" wrapText="1"/>
    </xf>
    <xf numFmtId="0" fontId="39" fillId="4" borderId="85" xfId="0" applyFont="1" applyFill="1" applyBorder="1" applyAlignment="1">
      <alignment horizontal="center" vertical="center" wrapText="1"/>
    </xf>
    <xf numFmtId="0" fontId="39" fillId="4" borderId="86" xfId="0" applyFont="1" applyFill="1" applyBorder="1" applyAlignment="1">
      <alignment horizontal="center" vertical="center" wrapText="1"/>
    </xf>
    <xf numFmtId="0" fontId="39" fillId="4" borderId="87" xfId="0" applyFont="1" applyFill="1" applyBorder="1" applyAlignment="1">
      <alignment horizontal="center" vertical="center" wrapText="1"/>
    </xf>
    <xf numFmtId="164" fontId="40" fillId="4" borderId="75" xfId="2" applyNumberFormat="1" applyFont="1" applyFill="1" applyBorder="1" applyAlignment="1" applyProtection="1">
      <alignment horizontal="center" vertical="center"/>
    </xf>
    <xf numFmtId="0" fontId="40" fillId="4" borderId="89" xfId="0" applyFont="1" applyFill="1" applyBorder="1" applyAlignment="1" applyProtection="1">
      <alignment horizontal="center" vertical="center"/>
    </xf>
    <xf numFmtId="0" fontId="39" fillId="4" borderId="88" xfId="0" applyFont="1" applyFill="1" applyBorder="1" applyAlignment="1" applyProtection="1">
      <alignment horizontal="center" vertical="center"/>
    </xf>
    <xf numFmtId="0" fontId="39" fillId="4" borderId="90" xfId="0" applyFont="1" applyFill="1" applyBorder="1" applyAlignment="1" applyProtection="1">
      <alignment horizontal="center" vertical="center"/>
    </xf>
    <xf numFmtId="0" fontId="39" fillId="4" borderId="86" xfId="0" applyFont="1" applyFill="1" applyBorder="1" applyAlignment="1" applyProtection="1">
      <alignment horizontal="center" vertical="center"/>
    </xf>
    <xf numFmtId="0" fontId="40" fillId="4" borderId="91" xfId="0" applyFont="1" applyFill="1" applyBorder="1" applyAlignment="1" applyProtection="1">
      <alignment horizontal="center" vertical="center"/>
    </xf>
    <xf numFmtId="0" fontId="39" fillId="4" borderId="85" xfId="0" applyFont="1" applyFill="1" applyBorder="1" applyAlignment="1" applyProtection="1">
      <alignment horizontal="center" vertical="center"/>
    </xf>
    <xf numFmtId="0" fontId="39" fillId="4" borderId="87" xfId="0" applyFont="1" applyFill="1" applyBorder="1" applyAlignment="1" applyProtection="1">
      <alignment horizontal="center" vertical="center"/>
    </xf>
    <xf numFmtId="0" fontId="39" fillId="4" borderId="88" xfId="1" applyFont="1" applyFill="1" applyBorder="1" applyAlignment="1" applyProtection="1">
      <alignment horizontal="center" vertical="center"/>
    </xf>
    <xf numFmtId="0" fontId="39" fillId="4" borderId="87" xfId="1" applyFont="1" applyFill="1" applyBorder="1" applyAlignment="1" applyProtection="1">
      <alignment horizontal="center" vertical="center"/>
    </xf>
    <xf numFmtId="0" fontId="39" fillId="4" borderId="86" xfId="1" applyFont="1" applyFill="1" applyBorder="1" applyAlignment="1" applyProtection="1">
      <alignment horizontal="center" vertical="center"/>
    </xf>
    <xf numFmtId="0" fontId="39" fillId="4" borderId="86" xfId="0" applyFont="1" applyFill="1" applyBorder="1" applyAlignment="1" applyProtection="1">
      <alignment horizontal="center" vertical="center" shrinkToFit="1"/>
    </xf>
    <xf numFmtId="0" fontId="39" fillId="4" borderId="92" xfId="0" applyFont="1" applyFill="1" applyBorder="1" applyAlignment="1" applyProtection="1">
      <alignment horizontal="center" vertical="center"/>
    </xf>
    <xf numFmtId="164" fontId="40" fillId="4" borderId="61" xfId="2" applyNumberFormat="1" applyFont="1" applyFill="1" applyBorder="1" applyAlignment="1" applyProtection="1">
      <alignment horizontal="center" vertical="center"/>
    </xf>
    <xf numFmtId="0" fontId="39" fillId="4" borderId="67" xfId="0" applyFont="1" applyFill="1" applyBorder="1" applyAlignment="1">
      <alignment horizontal="center" vertical="center" wrapText="1"/>
    </xf>
    <xf numFmtId="0" fontId="39" fillId="4" borderId="65" xfId="0" applyFont="1" applyFill="1" applyBorder="1" applyAlignment="1">
      <alignment horizontal="center" vertical="center" wrapText="1"/>
    </xf>
    <xf numFmtId="0" fontId="40" fillId="4" borderId="68" xfId="0" applyFont="1" applyFill="1" applyBorder="1" applyAlignment="1" applyProtection="1">
      <alignment horizontal="center" vertical="center"/>
    </xf>
    <xf numFmtId="0" fontId="39" fillId="4" borderId="58" xfId="0" applyFont="1" applyFill="1" applyBorder="1" applyAlignment="1" applyProtection="1">
      <alignment horizontal="center" vertical="center"/>
    </xf>
    <xf numFmtId="0" fontId="6" fillId="8" borderId="37" xfId="0" quotePrefix="1" applyFont="1" applyFill="1" applyBorder="1" applyAlignment="1">
      <alignment horizontal="left" wrapText="1"/>
    </xf>
    <xf numFmtId="0" fontId="7" fillId="8" borderId="96" xfId="0" applyFont="1" applyFill="1" applyBorder="1" applyAlignment="1">
      <alignment horizontal="center" vertical="center" wrapText="1"/>
    </xf>
    <xf numFmtId="0" fontId="2" fillId="8" borderId="97" xfId="0" applyFont="1" applyFill="1" applyBorder="1" applyAlignment="1">
      <alignment horizontal="center" vertical="center" wrapText="1"/>
    </xf>
    <xf numFmtId="0" fontId="2" fillId="8" borderId="98" xfId="0" applyFont="1" applyFill="1" applyBorder="1" applyAlignment="1">
      <alignment horizontal="center" vertical="center" wrapText="1"/>
    </xf>
    <xf numFmtId="164" fontId="2" fillId="8" borderId="98" xfId="2" applyNumberFormat="1" applyFont="1" applyFill="1" applyBorder="1" applyAlignment="1">
      <alignment horizontal="center" vertical="center"/>
    </xf>
    <xf numFmtId="164" fontId="2" fillId="8" borderId="96" xfId="2" applyNumberFormat="1" applyFont="1" applyFill="1" applyBorder="1" applyAlignment="1">
      <alignment horizontal="center" vertical="center"/>
    </xf>
    <xf numFmtId="164" fontId="1" fillId="8" borderId="99" xfId="2" applyNumberFormat="1" applyFont="1" applyFill="1" applyBorder="1" applyAlignment="1" applyProtection="1">
      <alignment horizontal="center" vertical="center"/>
    </xf>
    <xf numFmtId="164" fontId="1" fillId="8" borderId="100" xfId="2" applyNumberFormat="1" applyFont="1" applyFill="1" applyBorder="1" applyAlignment="1" applyProtection="1">
      <alignment horizontal="center" vertical="center"/>
    </xf>
    <xf numFmtId="164" fontId="2" fillId="8" borderId="101" xfId="2" applyNumberFormat="1" applyFont="1" applyFill="1" applyBorder="1" applyAlignment="1" applyProtection="1">
      <alignment horizontal="center" vertical="center"/>
    </xf>
    <xf numFmtId="164" fontId="2" fillId="8" borderId="102" xfId="2" applyNumberFormat="1" applyFont="1" applyFill="1" applyBorder="1" applyAlignment="1" applyProtection="1">
      <alignment horizontal="center" vertical="center"/>
    </xf>
    <xf numFmtId="164" fontId="2" fillId="8" borderId="98" xfId="2" applyNumberFormat="1" applyFont="1" applyFill="1" applyBorder="1" applyAlignment="1" applyProtection="1">
      <alignment horizontal="center" vertical="center"/>
    </xf>
    <xf numFmtId="164" fontId="1" fillId="8" borderId="103" xfId="2" applyNumberFormat="1" applyFont="1" applyFill="1" applyBorder="1" applyAlignment="1" applyProtection="1">
      <alignment horizontal="center" vertical="center"/>
    </xf>
    <xf numFmtId="164" fontId="2" fillId="8" borderId="97" xfId="2" applyNumberFormat="1" applyFont="1" applyFill="1" applyBorder="1" applyAlignment="1" applyProtection="1">
      <alignment horizontal="center" vertical="center"/>
    </xf>
    <xf numFmtId="164" fontId="2" fillId="8" borderId="96" xfId="2" applyNumberFormat="1" applyFont="1" applyFill="1" applyBorder="1" applyAlignment="1" applyProtection="1">
      <alignment horizontal="center" vertical="center"/>
    </xf>
    <xf numFmtId="164" fontId="2" fillId="8" borderId="104" xfId="2" applyNumberFormat="1" applyFont="1" applyFill="1" applyBorder="1" applyAlignment="1" applyProtection="1">
      <alignment horizontal="center" vertical="center"/>
    </xf>
    <xf numFmtId="164" fontId="1" fillId="8" borderId="97" xfId="2" applyNumberFormat="1" applyFont="1" applyFill="1" applyBorder="1" applyAlignment="1" applyProtection="1">
      <alignment horizontal="center" vertical="center"/>
    </xf>
    <xf numFmtId="164" fontId="1" fillId="8" borderId="106" xfId="2" applyNumberFormat="1" applyFont="1" applyFill="1" applyBorder="1" applyAlignment="1" applyProtection="1">
      <alignment horizontal="center" vertical="center"/>
    </xf>
    <xf numFmtId="0" fontId="1" fillId="8" borderId="0" xfId="0" applyFont="1" applyFill="1"/>
    <xf numFmtId="49" fontId="1" fillId="8" borderId="0" xfId="0" applyNumberFormat="1" applyFont="1" applyFill="1" applyBorder="1" applyAlignment="1">
      <alignment wrapText="1"/>
    </xf>
    <xf numFmtId="0" fontId="0" fillId="8" borderId="0" xfId="0" applyFont="1" applyFill="1"/>
    <xf numFmtId="2" fontId="3" fillId="8" borderId="80" xfId="0" applyNumberFormat="1" applyFont="1" applyFill="1" applyBorder="1" applyAlignment="1">
      <alignment horizontal="center" vertical="center" wrapText="1"/>
    </xf>
    <xf numFmtId="2" fontId="7" fillId="8" borderId="44" xfId="0" applyNumberFormat="1" applyFont="1" applyFill="1" applyBorder="1" applyAlignment="1">
      <alignment horizontal="center" vertical="center" wrapText="1"/>
    </xf>
    <xf numFmtId="2" fontId="2" fillId="8" borderId="78" xfId="0" applyNumberFormat="1" applyFont="1" applyFill="1" applyBorder="1" applyAlignment="1">
      <alignment horizontal="center" vertical="center" wrapText="1"/>
    </xf>
    <xf numFmtId="2" fontId="2" fillId="8" borderId="83" xfId="0" applyNumberFormat="1" applyFont="1" applyFill="1" applyBorder="1" applyAlignment="1">
      <alignment horizontal="center" vertical="center" wrapText="1"/>
    </xf>
    <xf numFmtId="2" fontId="2" fillId="8" borderId="109" xfId="0" applyNumberFormat="1" applyFont="1" applyFill="1" applyBorder="1" applyAlignment="1">
      <alignment horizontal="center" vertical="center" wrapText="1"/>
    </xf>
    <xf numFmtId="2" fontId="1" fillId="8" borderId="78" xfId="0" applyNumberFormat="1" applyFont="1" applyFill="1" applyBorder="1" applyAlignment="1">
      <alignment horizontal="center" vertical="center" wrapText="1"/>
    </xf>
    <xf numFmtId="2" fontId="1" fillId="8" borderId="110" xfId="0" applyNumberFormat="1" applyFont="1" applyFill="1" applyBorder="1" applyAlignment="1" applyProtection="1">
      <alignment horizontal="center" vertical="center"/>
    </xf>
    <xf numFmtId="2" fontId="2" fillId="8" borderId="40" xfId="0" applyNumberFormat="1" applyFont="1" applyFill="1" applyBorder="1" applyAlignment="1" applyProtection="1">
      <alignment horizontal="center" vertical="center"/>
    </xf>
    <xf numFmtId="2" fontId="2" fillId="8" borderId="11" xfId="0" applyNumberFormat="1" applyFont="1" applyFill="1" applyBorder="1" applyAlignment="1" applyProtection="1">
      <alignment horizontal="center" vertical="center"/>
    </xf>
    <xf numFmtId="2" fontId="2" fillId="8" borderId="41" xfId="0" applyNumberFormat="1" applyFont="1" applyFill="1" applyBorder="1" applyAlignment="1" applyProtection="1">
      <alignment horizontal="center" vertical="center"/>
    </xf>
    <xf numFmtId="2" fontId="1" fillId="8" borderId="38" xfId="0" applyNumberFormat="1" applyFont="1" applyFill="1" applyBorder="1" applyAlignment="1" applyProtection="1">
      <alignment horizontal="center" vertical="center"/>
    </xf>
    <xf numFmtId="2" fontId="1" fillId="8" borderId="2" xfId="0" applyNumberFormat="1" applyFont="1" applyFill="1" applyBorder="1" applyAlignment="1" applyProtection="1">
      <alignment horizontal="center" vertical="center"/>
    </xf>
    <xf numFmtId="2" fontId="2" fillId="8" borderId="0" xfId="0" applyNumberFormat="1" applyFont="1" applyFill="1" applyBorder="1" applyAlignment="1" applyProtection="1">
      <alignment horizontal="center" vertical="center"/>
    </xf>
    <xf numFmtId="2" fontId="1" fillId="8" borderId="38" xfId="0" applyNumberFormat="1" applyFont="1" applyFill="1" applyBorder="1" applyAlignment="1" applyProtection="1">
      <alignment horizontal="center" vertical="center" shrinkToFit="1"/>
    </xf>
    <xf numFmtId="2" fontId="2" fillId="8" borderId="42" xfId="1" applyNumberFormat="1" applyFont="1" applyFill="1" applyBorder="1" applyAlignment="1" applyProtection="1">
      <alignment horizontal="center" vertical="center"/>
    </xf>
    <xf numFmtId="2" fontId="2" fillId="8" borderId="0" xfId="1" applyNumberFormat="1" applyFont="1" applyFill="1" applyBorder="1" applyAlignment="1" applyProtection="1">
      <alignment horizontal="center" vertical="center"/>
    </xf>
    <xf numFmtId="2" fontId="2" fillId="8" borderId="11" xfId="1" applyNumberFormat="1" applyFont="1" applyFill="1" applyBorder="1" applyAlignment="1" applyProtection="1">
      <alignment horizontal="center" vertical="center"/>
    </xf>
    <xf numFmtId="2" fontId="2" fillId="8" borderId="11" xfId="0" applyNumberFormat="1" applyFont="1" applyFill="1" applyBorder="1" applyAlignment="1" applyProtection="1">
      <alignment horizontal="center" vertical="center" shrinkToFit="1"/>
    </xf>
    <xf numFmtId="2" fontId="2" fillId="8" borderId="35" xfId="0" applyNumberFormat="1" applyFont="1" applyFill="1" applyBorder="1" applyAlignment="1" applyProtection="1">
      <alignment horizontal="center" vertical="center"/>
    </xf>
    <xf numFmtId="2" fontId="15" fillId="8" borderId="40" xfId="0" applyNumberFormat="1" applyFont="1" applyFill="1" applyBorder="1" applyAlignment="1" applyProtection="1">
      <alignment horizontal="center" vertical="center"/>
    </xf>
    <xf numFmtId="2" fontId="15" fillId="8" borderId="38" xfId="0" applyNumberFormat="1" applyFont="1" applyFill="1" applyBorder="1" applyAlignment="1" applyProtection="1">
      <alignment horizontal="center" vertical="center"/>
    </xf>
    <xf numFmtId="2" fontId="1" fillId="8" borderId="37" xfId="0" applyNumberFormat="1" applyFont="1" applyFill="1" applyBorder="1" applyAlignment="1" applyProtection="1">
      <alignment horizontal="center" vertical="center"/>
    </xf>
    <xf numFmtId="2" fontId="1" fillId="8" borderId="0" xfId="0" applyNumberFormat="1" applyFont="1" applyFill="1"/>
    <xf numFmtId="2" fontId="1" fillId="8" borderId="0" xfId="0" applyNumberFormat="1" applyFont="1" applyFill="1" applyBorder="1" applyAlignment="1">
      <alignment wrapText="1"/>
    </xf>
    <xf numFmtId="2" fontId="0" fillId="8" borderId="0" xfId="0" applyNumberFormat="1" applyFont="1" applyFill="1"/>
    <xf numFmtId="0" fontId="6" fillId="8" borderId="0" xfId="0" applyFont="1" applyFill="1" applyBorder="1" applyAlignment="1">
      <alignment horizontal="left" vertical="center" wrapText="1"/>
    </xf>
    <xf numFmtId="0" fontId="6" fillId="8" borderId="0" xfId="0" quotePrefix="1" applyFont="1" applyFill="1" applyBorder="1" applyAlignment="1">
      <alignment horizontal="left" wrapText="1"/>
    </xf>
    <xf numFmtId="0" fontId="3" fillId="8" borderId="80" xfId="0" applyFont="1" applyFill="1" applyBorder="1" applyAlignment="1">
      <alignment horizontal="center" vertical="center" wrapText="1"/>
    </xf>
    <xf numFmtId="0" fontId="7" fillId="8" borderId="44" xfId="0" applyFont="1" applyFill="1" applyBorder="1" applyAlignment="1">
      <alignment horizontal="center" vertical="center" wrapText="1"/>
    </xf>
    <xf numFmtId="0" fontId="2" fillId="8" borderId="83" xfId="0" applyFont="1" applyFill="1" applyBorder="1" applyAlignment="1">
      <alignment horizontal="center" vertical="center" wrapText="1"/>
    </xf>
    <xf numFmtId="2" fontId="2" fillId="8" borderId="83" xfId="0" applyNumberFormat="1" applyFont="1" applyFill="1" applyBorder="1" applyAlignment="1" applyProtection="1">
      <alignment horizontal="center" vertical="center"/>
    </xf>
    <xf numFmtId="2" fontId="2" fillId="8" borderId="113" xfId="0" applyNumberFormat="1" applyFont="1" applyFill="1" applyBorder="1" applyAlignment="1" applyProtection="1">
      <alignment horizontal="center" vertical="center"/>
    </xf>
    <xf numFmtId="2" fontId="1" fillId="8" borderId="80" xfId="0" applyNumberFormat="1" applyFont="1" applyFill="1" applyBorder="1" applyAlignment="1" applyProtection="1">
      <alignment horizontal="center" vertical="center"/>
    </xf>
    <xf numFmtId="2" fontId="1" fillId="8" borderId="3" xfId="0" applyNumberFormat="1" applyFont="1" applyFill="1" applyBorder="1" applyAlignment="1" applyProtection="1">
      <alignment horizontal="center" vertical="center"/>
    </xf>
    <xf numFmtId="2" fontId="2" fillId="8" borderId="78" xfId="0" applyNumberFormat="1" applyFont="1" applyFill="1" applyBorder="1" applyAlignment="1" applyProtection="1">
      <alignment horizontal="center" vertical="center"/>
    </xf>
    <xf numFmtId="2" fontId="2" fillId="8" borderId="109" xfId="0" applyNumberFormat="1" applyFont="1" applyFill="1" applyBorder="1" applyAlignment="1" applyProtection="1">
      <alignment horizontal="center" vertical="center"/>
    </xf>
    <xf numFmtId="2" fontId="1" fillId="8" borderId="80" xfId="0" applyNumberFormat="1" applyFont="1" applyFill="1" applyBorder="1" applyAlignment="1" applyProtection="1">
      <alignment horizontal="center" vertical="center" shrinkToFit="1"/>
    </xf>
    <xf numFmtId="2" fontId="2" fillId="8" borderId="114" xfId="1" applyNumberFormat="1" applyFont="1" applyFill="1" applyBorder="1" applyAlignment="1" applyProtection="1">
      <alignment horizontal="center" vertical="center"/>
    </xf>
    <xf numFmtId="2" fontId="2" fillId="8" borderId="109" xfId="1" applyNumberFormat="1" applyFont="1" applyFill="1" applyBorder="1" applyAlignment="1" applyProtection="1">
      <alignment horizontal="center" vertical="center"/>
    </xf>
    <xf numFmtId="2" fontId="2" fillId="8" borderId="83" xfId="1" applyNumberFormat="1" applyFont="1" applyFill="1" applyBorder="1" applyAlignment="1" applyProtection="1">
      <alignment horizontal="center" vertical="center"/>
    </xf>
    <xf numFmtId="0" fontId="2" fillId="8" borderId="109" xfId="0" applyNumberFormat="1" applyFont="1" applyFill="1" applyBorder="1" applyAlignment="1" applyProtection="1">
      <alignment horizontal="center" vertical="center"/>
    </xf>
    <xf numFmtId="0" fontId="1" fillId="8" borderId="80" xfId="0" applyNumberFormat="1" applyFont="1" applyFill="1" applyBorder="1" applyAlignment="1" applyProtection="1">
      <alignment horizontal="center" vertical="center"/>
    </xf>
    <xf numFmtId="2" fontId="17" fillId="8" borderId="83" xfId="1" applyNumberFormat="1" applyFont="1" applyFill="1" applyBorder="1" applyAlignment="1" applyProtection="1">
      <alignment horizontal="center" vertical="center"/>
    </xf>
    <xf numFmtId="49" fontId="17" fillId="8" borderId="83" xfId="1" applyNumberFormat="1" applyFont="1" applyFill="1" applyBorder="1" applyAlignment="1" applyProtection="1">
      <alignment horizontal="center" vertical="center"/>
    </xf>
    <xf numFmtId="2" fontId="2" fillId="8" borderId="115" xfId="0" applyNumberFormat="1" applyFont="1" applyFill="1" applyBorder="1" applyAlignment="1" applyProtection="1">
      <alignment horizontal="center" vertical="center"/>
    </xf>
    <xf numFmtId="2" fontId="15" fillId="8" borderId="78" xfId="0" applyNumberFormat="1" applyFont="1" applyFill="1" applyBorder="1" applyAlignment="1" applyProtection="1">
      <alignment horizontal="center" vertical="center"/>
    </xf>
    <xf numFmtId="2" fontId="15" fillId="8" borderId="80" xfId="0" applyNumberFormat="1" applyFont="1" applyFill="1" applyBorder="1" applyAlignment="1" applyProtection="1">
      <alignment horizontal="center" vertical="center"/>
    </xf>
    <xf numFmtId="2" fontId="1" fillId="8" borderId="116" xfId="0" applyNumberFormat="1" applyFont="1" applyFill="1" applyBorder="1" applyAlignment="1" applyProtection="1">
      <alignment horizontal="center" vertical="center"/>
    </xf>
    <xf numFmtId="49" fontId="1" fillId="8" borderId="0" xfId="0" applyNumberFormat="1" applyFont="1" applyFill="1" applyBorder="1" applyAlignment="1">
      <alignment horizontal="left" wrapText="1"/>
    </xf>
    <xf numFmtId="49" fontId="1" fillId="8" borderId="0" xfId="0" applyNumberFormat="1" applyFont="1" applyFill="1" applyBorder="1" applyAlignment="1">
      <alignment horizontal="right"/>
    </xf>
    <xf numFmtId="0" fontId="44" fillId="4" borderId="47" xfId="0" applyFont="1" applyFill="1" applyBorder="1" applyAlignment="1">
      <alignment horizontal="center" vertical="center" wrapText="1"/>
    </xf>
    <xf numFmtId="0" fontId="44" fillId="4" borderId="45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/>
    </xf>
    <xf numFmtId="0" fontId="32" fillId="0" borderId="59" xfId="0" applyFont="1" applyBorder="1" applyAlignment="1">
      <alignment horizontal="center" vertical="center" wrapText="1"/>
    </xf>
    <xf numFmtId="0" fontId="32" fillId="0" borderId="5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1" fillId="0" borderId="69" xfId="0" applyFont="1" applyFill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67" xfId="0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center" wrapText="1"/>
    </xf>
    <xf numFmtId="0" fontId="31" fillId="0" borderId="65" xfId="0" applyFont="1" applyFill="1" applyBorder="1" applyAlignment="1">
      <alignment horizontal="center" vertical="center" wrapText="1"/>
    </xf>
    <xf numFmtId="0" fontId="27" fillId="2" borderId="25" xfId="0" applyFont="1" applyFill="1" applyBorder="1" applyAlignment="1" applyProtection="1">
      <alignment horizontal="center" vertical="center"/>
    </xf>
    <xf numFmtId="0" fontId="27" fillId="2" borderId="48" xfId="0" applyFont="1" applyFill="1" applyBorder="1" applyAlignment="1" applyProtection="1">
      <alignment horizontal="center" vertical="center"/>
    </xf>
    <xf numFmtId="0" fontId="27" fillId="2" borderId="55" xfId="0" applyFont="1" applyFill="1" applyBorder="1" applyAlignment="1" applyProtection="1">
      <alignment horizontal="center" vertical="center"/>
    </xf>
    <xf numFmtId="0" fontId="27" fillId="0" borderId="31" xfId="0" applyFont="1" applyFill="1" applyBorder="1" applyAlignment="1" applyProtection="1">
      <alignment horizontal="center" vertical="center"/>
    </xf>
    <xf numFmtId="0" fontId="27" fillId="0" borderId="49" xfId="0" applyFont="1" applyFill="1" applyBorder="1" applyAlignment="1" applyProtection="1">
      <alignment horizontal="center" vertical="center"/>
    </xf>
    <xf numFmtId="0" fontId="27" fillId="0" borderId="60" xfId="0" applyFont="1" applyFill="1" applyBorder="1" applyAlignment="1" applyProtection="1">
      <alignment horizontal="center" vertical="center"/>
    </xf>
    <xf numFmtId="0" fontId="27" fillId="0" borderId="68" xfId="0" applyFont="1" applyFill="1" applyBorder="1" applyAlignment="1" applyProtection="1">
      <alignment horizontal="center" vertical="center"/>
    </xf>
    <xf numFmtId="0" fontId="31" fillId="0" borderId="67" xfId="0" applyFont="1" applyFill="1" applyBorder="1" applyAlignment="1" applyProtection="1">
      <alignment horizontal="center" vertical="center"/>
    </xf>
    <xf numFmtId="0" fontId="31" fillId="0" borderId="70" xfId="0" applyFont="1" applyFill="1" applyBorder="1" applyAlignment="1" applyProtection="1">
      <alignment horizontal="center" vertical="center"/>
    </xf>
    <xf numFmtId="0" fontId="27" fillId="0" borderId="71" xfId="0" applyFont="1" applyFill="1" applyBorder="1" applyAlignment="1" applyProtection="1">
      <alignment horizontal="center" vertical="center"/>
    </xf>
    <xf numFmtId="0" fontId="31" fillId="0" borderId="69" xfId="0" applyFont="1" applyFill="1" applyBorder="1" applyAlignment="1" applyProtection="1">
      <alignment horizontal="center" vertical="center"/>
    </xf>
    <xf numFmtId="0" fontId="31" fillId="0" borderId="65" xfId="0" applyFont="1" applyFill="1" applyBorder="1" applyAlignment="1" applyProtection="1">
      <alignment horizontal="center" vertical="center"/>
    </xf>
    <xf numFmtId="0" fontId="27" fillId="2" borderId="25" xfId="0" applyFont="1" applyFill="1" applyBorder="1" applyAlignment="1" applyProtection="1">
      <alignment horizontal="center" vertical="center" shrinkToFit="1"/>
    </xf>
    <xf numFmtId="0" fontId="27" fillId="2" borderId="48" xfId="0" applyFont="1" applyFill="1" applyBorder="1" applyAlignment="1" applyProtection="1">
      <alignment horizontal="center" vertical="center" shrinkToFit="1"/>
    </xf>
    <xf numFmtId="0" fontId="27" fillId="2" borderId="55" xfId="0" applyFont="1" applyFill="1" applyBorder="1" applyAlignment="1" applyProtection="1">
      <alignment horizontal="center" vertical="center" shrinkToFit="1"/>
    </xf>
    <xf numFmtId="0" fontId="31" fillId="3" borderId="18" xfId="1" applyFont="1" applyFill="1" applyBorder="1" applyAlignment="1" applyProtection="1">
      <alignment horizontal="center" vertical="center"/>
    </xf>
    <xf numFmtId="0" fontId="31" fillId="3" borderId="46" xfId="1" applyFont="1" applyFill="1" applyBorder="1" applyAlignment="1" applyProtection="1">
      <alignment horizontal="center" vertical="center"/>
    </xf>
    <xf numFmtId="0" fontId="31" fillId="0" borderId="66" xfId="1" applyFont="1" applyFill="1" applyBorder="1" applyAlignment="1" applyProtection="1">
      <alignment horizontal="center" vertical="center"/>
    </xf>
    <xf numFmtId="0" fontId="31" fillId="3" borderId="24" xfId="1" applyFont="1" applyFill="1" applyBorder="1" applyAlignment="1" applyProtection="1">
      <alignment horizontal="center" vertical="center"/>
    </xf>
    <xf numFmtId="0" fontId="31" fillId="3" borderId="45" xfId="1" applyFont="1" applyFill="1" applyBorder="1" applyAlignment="1" applyProtection="1">
      <alignment horizontal="center" vertical="center"/>
    </xf>
    <xf numFmtId="0" fontId="31" fillId="0" borderId="65" xfId="1" applyFont="1" applyFill="1" applyBorder="1" applyAlignment="1" applyProtection="1">
      <alignment horizontal="center" vertical="center"/>
    </xf>
    <xf numFmtId="0" fontId="31" fillId="0" borderId="67" xfId="1" applyFont="1" applyFill="1" applyBorder="1" applyAlignment="1" applyProtection="1">
      <alignment horizontal="center" vertical="center"/>
    </xf>
    <xf numFmtId="0" fontId="31" fillId="0" borderId="67" xfId="0" applyFont="1" applyFill="1" applyBorder="1" applyAlignment="1" applyProtection="1">
      <alignment horizontal="center" vertical="center" shrinkToFit="1"/>
    </xf>
    <xf numFmtId="0" fontId="31" fillId="0" borderId="72" xfId="0" applyFont="1" applyFill="1" applyBorder="1" applyAlignment="1" applyProtection="1">
      <alignment horizontal="center" vertical="center"/>
    </xf>
    <xf numFmtId="0" fontId="27" fillId="2" borderId="20" xfId="0" applyFont="1" applyFill="1" applyBorder="1" applyAlignment="1" applyProtection="1">
      <alignment horizontal="center" vertical="center"/>
    </xf>
    <xf numFmtId="0" fontId="27" fillId="2" borderId="61" xfId="0" applyFont="1" applyFill="1" applyBorder="1" applyAlignment="1" applyProtection="1">
      <alignment horizontal="center" vertical="center"/>
    </xf>
    <xf numFmtId="0" fontId="27" fillId="2" borderId="106" xfId="0" applyFont="1" applyFill="1" applyBorder="1" applyAlignment="1" applyProtection="1">
      <alignment horizontal="center" vertical="center"/>
    </xf>
    <xf numFmtId="0" fontId="27" fillId="2" borderId="95" xfId="0" applyFont="1" applyFill="1" applyBorder="1" applyAlignment="1" applyProtection="1">
      <alignment horizontal="center" vertical="center"/>
    </xf>
    <xf numFmtId="49" fontId="1" fillId="0" borderId="43" xfId="0" applyNumberFormat="1" applyFon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quotePrefix="1" applyFont="1" applyBorder="1" applyAlignment="1">
      <alignment horizontal="left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49" fontId="27" fillId="0" borderId="43" xfId="0" applyNumberFormat="1" applyFont="1" applyBorder="1" applyAlignment="1">
      <alignment horizontal="left" wrapText="1"/>
    </xf>
    <xf numFmtId="49" fontId="27" fillId="0" borderId="0" xfId="0" applyNumberFormat="1" applyFont="1" applyBorder="1" applyAlignment="1">
      <alignment horizontal="left" wrapText="1"/>
    </xf>
    <xf numFmtId="0" fontId="42" fillId="4" borderId="37" xfId="0" quotePrefix="1" applyFont="1" applyFill="1" applyBorder="1" applyAlignment="1">
      <alignment horizontal="left" wrapText="1"/>
    </xf>
    <xf numFmtId="0" fontId="46" fillId="4" borderId="37" xfId="0" quotePrefix="1" applyFont="1" applyFill="1" applyBorder="1" applyAlignment="1">
      <alignment horizontal="left" wrapText="1"/>
    </xf>
    <xf numFmtId="0" fontId="25" fillId="0" borderId="0" xfId="0" applyFont="1" applyBorder="1" applyAlignment="1">
      <alignment horizontal="left" vertical="center" wrapText="1"/>
    </xf>
    <xf numFmtId="0" fontId="25" fillId="0" borderId="0" xfId="0" quotePrefix="1" applyFont="1" applyBorder="1" applyAlignment="1">
      <alignment horizontal="left" wrapText="1"/>
    </xf>
    <xf numFmtId="49" fontId="27" fillId="0" borderId="30" xfId="0" applyNumberFormat="1" applyFont="1" applyBorder="1" applyAlignment="1">
      <alignment horizontal="center" vertical="center" wrapText="1"/>
    </xf>
    <xf numFmtId="49" fontId="27" fillId="0" borderId="34" xfId="0" applyNumberFormat="1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30" xfId="0" applyFont="1" applyFill="1" applyBorder="1" applyAlignment="1">
      <alignment horizontal="center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 wrapText="1"/>
    </xf>
    <xf numFmtId="0" fontId="27" fillId="8" borderId="43" xfId="0" applyFont="1" applyFill="1" applyBorder="1" applyAlignment="1">
      <alignment horizontal="center" vertical="center" wrapText="1"/>
    </xf>
    <xf numFmtId="0" fontId="27" fillId="8" borderId="54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46" fillId="0" borderId="37" xfId="0" quotePrefix="1" applyFont="1" applyBorder="1" applyAlignment="1">
      <alignment horizontal="left" wrapText="1"/>
    </xf>
    <xf numFmtId="0" fontId="15" fillId="8" borderId="30" xfId="0" applyFont="1" applyFill="1" applyBorder="1" applyAlignment="1">
      <alignment horizontal="center" vertical="center" wrapText="1"/>
    </xf>
    <xf numFmtId="0" fontId="15" fillId="8" borderId="34" xfId="0" applyFont="1" applyFill="1" applyBorder="1" applyAlignment="1">
      <alignment horizontal="center" vertical="center" wrapText="1"/>
    </xf>
    <xf numFmtId="0" fontId="48" fillId="4" borderId="30" xfId="0" applyFont="1" applyFill="1" applyBorder="1" applyAlignment="1">
      <alignment horizontal="center" vertical="center" wrapText="1"/>
    </xf>
    <xf numFmtId="0" fontId="48" fillId="4" borderId="34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 applyProtection="1">
      <alignment horizontal="center" vertical="center"/>
    </xf>
    <xf numFmtId="2" fontId="2" fillId="0" borderId="57" xfId="0" applyNumberFormat="1" applyFont="1" applyBorder="1" applyAlignment="1">
      <alignment vertical="center" wrapText="1"/>
    </xf>
    <xf numFmtId="2" fontId="2" fillId="0" borderId="67" xfId="0" applyNumberFormat="1" applyFont="1" applyBorder="1" applyAlignment="1">
      <alignment horizontal="center" vertical="center" wrapText="1"/>
    </xf>
    <xf numFmtId="0" fontId="31" fillId="0" borderId="118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/>
    </xf>
    <xf numFmtId="0" fontId="20" fillId="0" borderId="0" xfId="0" quotePrefix="1" applyFont="1" applyFill="1" applyBorder="1" applyAlignment="1">
      <alignment horizontal="center" wrapText="1"/>
    </xf>
    <xf numFmtId="0" fontId="6" fillId="0" borderId="0" xfId="0" quotePrefix="1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6" fillId="0" borderId="0" xfId="0" quotePrefix="1" applyFont="1" applyFill="1" applyBorder="1" applyAlignment="1"/>
    <xf numFmtId="0" fontId="6" fillId="0" borderId="0" xfId="0" quotePrefix="1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left" vertical="center"/>
    </xf>
    <xf numFmtId="0" fontId="2" fillId="0" borderId="0" xfId="0" applyFont="1" applyFill="1"/>
    <xf numFmtId="0" fontId="23" fillId="0" borderId="0" xfId="0" applyFont="1" applyFill="1"/>
    <xf numFmtId="49" fontId="20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 wrapText="1"/>
    </xf>
    <xf numFmtId="49" fontId="20" fillId="0" borderId="0" xfId="0" applyNumberFormat="1" applyFont="1" applyFill="1" applyBorder="1" applyAlignment="1">
      <alignment horizontal="left" wrapText="1"/>
    </xf>
    <xf numFmtId="0" fontId="2" fillId="0" borderId="0" xfId="0" applyFont="1" applyFill="1" applyAlignment="1">
      <alignment horizontal="center"/>
    </xf>
    <xf numFmtId="0" fontId="8" fillId="0" borderId="0" xfId="0" applyFont="1" applyFill="1"/>
    <xf numFmtId="0" fontId="20" fillId="0" borderId="0" xfId="0" applyFont="1" applyFill="1"/>
    <xf numFmtId="0" fontId="8" fillId="0" borderId="0" xfId="0" applyFont="1" applyFill="1" applyAlignment="1">
      <alignment horizontal="center"/>
    </xf>
    <xf numFmtId="0" fontId="18" fillId="0" borderId="0" xfId="0" applyFont="1" applyFill="1"/>
    <xf numFmtId="0" fontId="1" fillId="0" borderId="0" xfId="0" applyFont="1" applyFill="1" applyAlignment="1">
      <alignment horizontal="center"/>
    </xf>
    <xf numFmtId="164" fontId="39" fillId="0" borderId="24" xfId="2" applyNumberFormat="1" applyFont="1" applyFill="1" applyBorder="1" applyAlignment="1" applyProtection="1">
      <alignment horizontal="center" vertical="center"/>
    </xf>
    <xf numFmtId="164" fontId="39" fillId="0" borderId="45" xfId="2" applyNumberFormat="1" applyFont="1" applyFill="1" applyBorder="1" applyAlignment="1" applyProtection="1">
      <alignment horizontal="center" vertical="center"/>
    </xf>
    <xf numFmtId="0" fontId="39" fillId="0" borderId="24" xfId="0" applyFont="1" applyFill="1" applyBorder="1" applyAlignment="1" applyProtection="1">
      <alignment horizontal="center" vertical="center"/>
    </xf>
    <xf numFmtId="0" fontId="39" fillId="0" borderId="45" xfId="0" applyFont="1" applyFill="1" applyBorder="1" applyAlignment="1" applyProtection="1">
      <alignment horizontal="center" vertical="center"/>
    </xf>
    <xf numFmtId="0" fontId="39" fillId="0" borderId="57" xfId="0" applyFont="1" applyFill="1" applyBorder="1" applyAlignment="1" applyProtection="1">
      <alignment horizontal="center" vertical="center"/>
    </xf>
    <xf numFmtId="0" fontId="39" fillId="0" borderId="65" xfId="0" applyFont="1" applyFill="1" applyBorder="1" applyAlignment="1" applyProtection="1">
      <alignment horizontal="center" vertical="center"/>
    </xf>
    <xf numFmtId="2" fontId="39" fillId="0" borderId="12" xfId="0" applyNumberFormat="1" applyFont="1" applyFill="1" applyBorder="1" applyAlignment="1" applyProtection="1">
      <alignment horizontal="center" vertical="center"/>
    </xf>
    <xf numFmtId="2" fontId="39" fillId="0" borderId="57" xfId="0" applyNumberFormat="1" applyFont="1" applyFill="1" applyBorder="1" applyAlignment="1" applyProtection="1">
      <alignment horizontal="center" vertical="center"/>
    </xf>
    <xf numFmtId="0" fontId="39" fillId="4" borderId="109" xfId="0" applyNumberFormat="1" applyFont="1" applyFill="1" applyBorder="1" applyAlignment="1" applyProtection="1">
      <alignment horizontal="center" vertical="center"/>
    </xf>
    <xf numFmtId="0" fontId="49" fillId="0" borderId="37" xfId="0" quotePrefix="1" applyFont="1" applyBorder="1" applyAlignment="1">
      <alignment horizontal="left" vertical="center"/>
    </xf>
    <xf numFmtId="2" fontId="2" fillId="4" borderId="113" xfId="0" applyNumberFormat="1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3" fillId="0" borderId="105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2" fontId="2" fillId="0" borderId="69" xfId="0" applyNumberFormat="1" applyFont="1" applyBorder="1" applyAlignment="1">
      <alignment horizontal="center" vertical="center" wrapText="1"/>
    </xf>
    <xf numFmtId="2" fontId="2" fillId="0" borderId="70" xfId="0" applyNumberFormat="1" applyFont="1" applyBorder="1" applyAlignment="1">
      <alignment horizontal="center" vertical="center" wrapText="1"/>
    </xf>
    <xf numFmtId="2" fontId="2" fillId="0" borderId="140" xfId="0" applyNumberFormat="1" applyFont="1" applyBorder="1" applyAlignment="1">
      <alignment horizontal="center" vertical="center" wrapText="1"/>
    </xf>
    <xf numFmtId="0" fontId="1" fillId="0" borderId="71" xfId="0" applyFont="1" applyFill="1" applyBorder="1" applyAlignment="1" applyProtection="1">
      <alignment horizontal="center" vertical="center"/>
    </xf>
    <xf numFmtId="2" fontId="2" fillId="0" borderId="65" xfId="0" applyNumberFormat="1" applyFont="1" applyBorder="1" applyAlignment="1">
      <alignment vertical="center" wrapText="1"/>
    </xf>
    <xf numFmtId="2" fontId="2" fillId="0" borderId="67" xfId="0" applyNumberFormat="1" applyFont="1" applyBorder="1" applyAlignment="1">
      <alignment vertical="center" wrapText="1"/>
    </xf>
    <xf numFmtId="164" fontId="1" fillId="2" borderId="105" xfId="2" applyNumberFormat="1" applyFont="1" applyFill="1" applyBorder="1" applyAlignment="1" applyProtection="1">
      <alignment horizontal="center" vertical="center"/>
    </xf>
    <xf numFmtId="2" fontId="2" fillId="0" borderId="144" xfId="0" applyNumberFormat="1" applyFont="1" applyBorder="1" applyAlignment="1">
      <alignment horizontal="center" vertical="center" wrapText="1"/>
    </xf>
    <xf numFmtId="0" fontId="2" fillId="0" borderId="70" xfId="0" applyFont="1" applyFill="1" applyBorder="1" applyAlignment="1" applyProtection="1">
      <alignment horizontal="center" vertical="center"/>
    </xf>
    <xf numFmtId="165" fontId="1" fillId="2" borderId="69" xfId="2" applyNumberFormat="1" applyFont="1" applyFill="1" applyBorder="1" applyAlignment="1" applyProtection="1">
      <alignment horizontal="center" vertical="center"/>
    </xf>
    <xf numFmtId="165" fontId="1" fillId="2" borderId="145" xfId="2" applyNumberFormat="1" applyFont="1" applyFill="1" applyBorder="1" applyAlignment="1" applyProtection="1">
      <alignment horizontal="center" vertical="center"/>
    </xf>
    <xf numFmtId="0" fontId="11" fillId="7" borderId="75" xfId="0" applyFont="1" applyFill="1" applyBorder="1" applyAlignment="1">
      <alignment horizontal="center" vertical="center" wrapText="1"/>
    </xf>
    <xf numFmtId="0" fontId="7" fillId="7" borderId="87" xfId="0" applyFont="1" applyFill="1" applyBorder="1" applyAlignment="1">
      <alignment horizontal="center" vertical="center" wrapText="1"/>
    </xf>
    <xf numFmtId="0" fontId="2" fillId="7" borderId="85" xfId="0" applyFont="1" applyFill="1" applyBorder="1" applyAlignment="1">
      <alignment horizontal="center" vertical="center" wrapText="1"/>
    </xf>
    <xf numFmtId="0" fontId="2" fillId="7" borderId="86" xfId="0" applyFont="1" applyFill="1" applyBorder="1" applyAlignment="1">
      <alignment horizontal="center" vertical="center" wrapText="1"/>
    </xf>
    <xf numFmtId="0" fontId="2" fillId="7" borderId="87" xfId="0" applyFont="1" applyFill="1" applyBorder="1" applyAlignment="1">
      <alignment horizontal="center" vertical="center" wrapText="1"/>
    </xf>
    <xf numFmtId="164" fontId="1" fillId="7" borderId="75" xfId="2" applyNumberFormat="1" applyFont="1" applyFill="1" applyBorder="1" applyAlignment="1" applyProtection="1">
      <alignment horizontal="center" vertical="center"/>
    </xf>
    <xf numFmtId="0" fontId="1" fillId="7" borderId="146" xfId="0" applyFont="1" applyFill="1" applyBorder="1" applyAlignment="1" applyProtection="1">
      <alignment horizontal="center" vertical="center"/>
    </xf>
    <xf numFmtId="0" fontId="2" fillId="7" borderId="85" xfId="0" applyFont="1" applyFill="1" applyBorder="1" applyAlignment="1" applyProtection="1">
      <alignment horizontal="center" vertical="center"/>
    </xf>
    <xf numFmtId="0" fontId="2" fillId="7" borderId="86" xfId="0" applyFont="1" applyFill="1" applyBorder="1" applyAlignment="1" applyProtection="1">
      <alignment horizontal="center" vertical="center"/>
    </xf>
    <xf numFmtId="0" fontId="2" fillId="7" borderId="90" xfId="0" applyFont="1" applyFill="1" applyBorder="1" applyAlignment="1" applyProtection="1">
      <alignment horizontal="center" vertical="center"/>
    </xf>
    <xf numFmtId="0" fontId="1" fillId="7" borderId="91" xfId="0" applyFont="1" applyFill="1" applyBorder="1" applyAlignment="1" applyProtection="1">
      <alignment horizontal="center" vertical="center"/>
    </xf>
    <xf numFmtId="0" fontId="2" fillId="7" borderId="85" xfId="1" applyFont="1" applyFill="1" applyBorder="1" applyAlignment="1" applyProtection="1">
      <alignment horizontal="center" vertical="center"/>
    </xf>
    <xf numFmtId="0" fontId="2" fillId="7" borderId="86" xfId="1" applyFont="1" applyFill="1" applyBorder="1" applyAlignment="1" applyProtection="1">
      <alignment horizontal="center" vertical="center"/>
    </xf>
    <xf numFmtId="0" fontId="2" fillId="7" borderId="87" xfId="0" applyFont="1" applyFill="1" applyBorder="1" applyAlignment="1" applyProtection="1">
      <alignment horizontal="center" vertical="center"/>
    </xf>
    <xf numFmtId="164" fontId="1" fillId="7" borderId="147" xfId="2" applyNumberFormat="1" applyFont="1" applyFill="1" applyBorder="1" applyAlignment="1" applyProtection="1">
      <alignment horizontal="center" vertical="center"/>
    </xf>
    <xf numFmtId="164" fontId="1" fillId="7" borderId="85" xfId="2" applyNumberFormat="1" applyFont="1" applyFill="1" applyBorder="1" applyAlignment="1" applyProtection="1">
      <alignment horizontal="center" vertical="center"/>
    </xf>
    <xf numFmtId="0" fontId="1" fillId="7" borderId="56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31" fillId="7" borderId="40" xfId="0" applyFont="1" applyFill="1" applyBorder="1" applyAlignment="1">
      <alignment horizontal="center" vertical="center" wrapText="1"/>
    </xf>
    <xf numFmtId="0" fontId="31" fillId="7" borderId="11" xfId="0" applyFont="1" applyFill="1" applyBorder="1" applyAlignment="1">
      <alignment horizontal="center" vertical="center" wrapText="1"/>
    </xf>
    <xf numFmtId="0" fontId="31" fillId="7" borderId="0" xfId="0" applyFont="1" applyFill="1" applyBorder="1" applyAlignment="1">
      <alignment horizontal="center" vertical="center" wrapText="1"/>
    </xf>
    <xf numFmtId="0" fontId="27" fillId="7" borderId="38" xfId="0" applyFont="1" applyFill="1" applyBorder="1" applyAlignment="1" applyProtection="1">
      <alignment horizontal="center" vertical="center"/>
    </xf>
    <xf numFmtId="0" fontId="27" fillId="7" borderId="39" xfId="0" applyFont="1" applyFill="1" applyBorder="1" applyAlignment="1" applyProtection="1">
      <alignment horizontal="center" vertical="center"/>
    </xf>
    <xf numFmtId="0" fontId="31" fillId="7" borderId="85" xfId="0" applyFont="1" applyFill="1" applyBorder="1" applyAlignment="1" applyProtection="1">
      <alignment horizontal="center" vertical="center"/>
    </xf>
    <xf numFmtId="0" fontId="31" fillId="7" borderId="11" xfId="0" applyFont="1" applyFill="1" applyBorder="1" applyAlignment="1" applyProtection="1">
      <alignment horizontal="center" vertical="center"/>
    </xf>
    <xf numFmtId="0" fontId="31" fillId="7" borderId="41" xfId="0" applyFont="1" applyFill="1" applyBorder="1" applyAlignment="1" applyProtection="1">
      <alignment horizontal="center" vertical="center"/>
    </xf>
    <xf numFmtId="0" fontId="27" fillId="7" borderId="2" xfId="0" applyFont="1" applyFill="1" applyBorder="1" applyAlignment="1" applyProtection="1">
      <alignment horizontal="center" vertical="center"/>
    </xf>
    <xf numFmtId="0" fontId="31" fillId="7" borderId="40" xfId="0" applyFont="1" applyFill="1" applyBorder="1" applyAlignment="1" applyProtection="1">
      <alignment horizontal="center" vertical="center"/>
    </xf>
    <xf numFmtId="0" fontId="31" fillId="7" borderId="0" xfId="0" applyFont="1" applyFill="1" applyBorder="1" applyAlignment="1" applyProtection="1">
      <alignment horizontal="center" vertical="center"/>
    </xf>
    <xf numFmtId="0" fontId="27" fillId="7" borderId="38" xfId="0" applyFont="1" applyFill="1" applyBorder="1" applyAlignment="1" applyProtection="1">
      <alignment horizontal="center" vertical="center" shrinkToFit="1"/>
    </xf>
    <xf numFmtId="0" fontId="31" fillId="7" borderId="42" xfId="1" applyFont="1" applyFill="1" applyBorder="1" applyAlignment="1" applyProtection="1">
      <alignment horizontal="center" vertical="center"/>
    </xf>
    <xf numFmtId="0" fontId="31" fillId="7" borderId="0" xfId="1" applyFont="1" applyFill="1" applyBorder="1" applyAlignment="1" applyProtection="1">
      <alignment horizontal="center" vertical="center"/>
    </xf>
    <xf numFmtId="0" fontId="31" fillId="7" borderId="11" xfId="1" applyFont="1" applyFill="1" applyBorder="1" applyAlignment="1" applyProtection="1">
      <alignment horizontal="center" vertical="center"/>
    </xf>
    <xf numFmtId="0" fontId="39" fillId="7" borderId="0" xfId="0" applyFont="1" applyFill="1" applyBorder="1" applyAlignment="1" applyProtection="1">
      <alignment horizontal="center" vertical="center"/>
    </xf>
    <xf numFmtId="0" fontId="31" fillId="7" borderId="11" xfId="0" applyFont="1" applyFill="1" applyBorder="1" applyAlignment="1" applyProtection="1">
      <alignment horizontal="center" vertical="center" shrinkToFit="1"/>
    </xf>
    <xf numFmtId="0" fontId="31" fillId="7" borderId="35" xfId="0" applyFont="1" applyFill="1" applyBorder="1" applyAlignment="1" applyProtection="1">
      <alignment horizontal="center" vertical="center"/>
    </xf>
    <xf numFmtId="0" fontId="27" fillId="7" borderId="40" xfId="0" applyFont="1" applyFill="1" applyBorder="1" applyAlignment="1" applyProtection="1">
      <alignment horizontal="center" vertical="center"/>
    </xf>
    <xf numFmtId="0" fontId="27" fillId="7" borderId="37" xfId="0" applyFont="1" applyFill="1" applyBorder="1" applyAlignment="1" applyProtection="1">
      <alignment horizontal="center" vertical="center"/>
    </xf>
    <xf numFmtId="0" fontId="50" fillId="4" borderId="96" xfId="0" applyFont="1" applyFill="1" applyBorder="1" applyAlignment="1">
      <alignment horizontal="center" vertical="center" wrapText="1"/>
    </xf>
    <xf numFmtId="0" fontId="14" fillId="4" borderId="97" xfId="0" applyFont="1" applyFill="1" applyBorder="1" applyAlignment="1">
      <alignment horizontal="center" vertical="center" wrapText="1"/>
    </xf>
    <xf numFmtId="0" fontId="14" fillId="4" borderId="98" xfId="0" applyFont="1" applyFill="1" applyBorder="1" applyAlignment="1">
      <alignment horizontal="center" vertical="center" wrapText="1"/>
    </xf>
    <xf numFmtId="164" fontId="14" fillId="4" borderId="98" xfId="2" applyNumberFormat="1" applyFont="1" applyFill="1" applyBorder="1" applyAlignment="1">
      <alignment horizontal="center" vertical="center"/>
    </xf>
    <xf numFmtId="164" fontId="14" fillId="4" borderId="96" xfId="2" applyNumberFormat="1" applyFont="1" applyFill="1" applyBorder="1" applyAlignment="1">
      <alignment horizontal="center" vertical="center"/>
    </xf>
    <xf numFmtId="164" fontId="15" fillId="4" borderId="99" xfId="2" applyNumberFormat="1" applyFont="1" applyFill="1" applyBorder="1" applyAlignment="1" applyProtection="1">
      <alignment horizontal="center" vertical="center"/>
    </xf>
    <xf numFmtId="164" fontId="15" fillId="4" borderId="100" xfId="2" applyNumberFormat="1" applyFont="1" applyFill="1" applyBorder="1" applyAlignment="1" applyProtection="1">
      <alignment horizontal="center" vertical="center"/>
    </xf>
    <xf numFmtId="164" fontId="14" fillId="4" borderId="101" xfId="2" applyNumberFormat="1" applyFont="1" applyFill="1" applyBorder="1" applyAlignment="1" applyProtection="1">
      <alignment horizontal="center" vertical="center"/>
    </xf>
    <xf numFmtId="164" fontId="14" fillId="4" borderId="102" xfId="2" applyNumberFormat="1" applyFont="1" applyFill="1" applyBorder="1" applyAlignment="1" applyProtection="1">
      <alignment horizontal="center" vertical="center"/>
    </xf>
    <xf numFmtId="164" fontId="14" fillId="4" borderId="98" xfId="2" applyNumberFormat="1" applyFont="1" applyFill="1" applyBorder="1" applyAlignment="1" applyProtection="1">
      <alignment horizontal="center" vertical="center"/>
    </xf>
    <xf numFmtId="164" fontId="15" fillId="4" borderId="103" xfId="2" applyNumberFormat="1" applyFont="1" applyFill="1" applyBorder="1" applyAlignment="1" applyProtection="1">
      <alignment horizontal="center" vertical="center"/>
    </xf>
    <xf numFmtId="164" fontId="14" fillId="4" borderId="97" xfId="2" applyNumberFormat="1" applyFont="1" applyFill="1" applyBorder="1" applyAlignment="1" applyProtection="1">
      <alignment horizontal="center" vertical="center"/>
    </xf>
    <xf numFmtId="164" fontId="14" fillId="4" borderId="96" xfId="2" applyNumberFormat="1" applyFont="1" applyFill="1" applyBorder="1" applyAlignment="1" applyProtection="1">
      <alignment horizontal="center" vertical="center"/>
    </xf>
    <xf numFmtId="164" fontId="14" fillId="4" borderId="104" xfId="2" applyNumberFormat="1" applyFont="1" applyFill="1" applyBorder="1" applyAlignment="1" applyProtection="1">
      <alignment horizontal="center" vertical="center"/>
    </xf>
    <xf numFmtId="164" fontId="15" fillId="4" borderId="97" xfId="2" applyNumberFormat="1" applyFont="1" applyFill="1" applyBorder="1" applyAlignment="1" applyProtection="1">
      <alignment horizontal="center" vertical="center"/>
    </xf>
    <xf numFmtId="164" fontId="15" fillId="4" borderId="106" xfId="2" applyNumberFormat="1" applyFont="1" applyFill="1" applyBorder="1" applyAlignment="1" applyProtection="1">
      <alignment horizontal="center" vertical="center"/>
    </xf>
    <xf numFmtId="0" fontId="15" fillId="0" borderId="0" xfId="0" applyFont="1"/>
    <xf numFmtId="49" fontId="15" fillId="0" borderId="0" xfId="0" applyNumberFormat="1" applyFont="1" applyBorder="1" applyAlignment="1">
      <alignment wrapText="1"/>
    </xf>
    <xf numFmtId="0" fontId="2" fillId="7" borderId="90" xfId="0" applyFont="1" applyFill="1" applyBorder="1" applyAlignment="1">
      <alignment horizontal="center" vertical="center" wrapText="1"/>
    </xf>
    <xf numFmtId="0" fontId="51" fillId="0" borderId="37" xfId="0" quotePrefix="1" applyFont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43" xfId="0" applyFont="1" applyBorder="1" applyAlignment="1">
      <alignment horizontal="center" vertical="center" wrapText="1"/>
    </xf>
    <xf numFmtId="0" fontId="1" fillId="7" borderId="56" xfId="0" applyFont="1" applyFill="1" applyBorder="1" applyAlignment="1" applyProtection="1">
      <alignment horizontal="center" vertical="center"/>
    </xf>
    <xf numFmtId="49" fontId="27" fillId="0" borderId="0" xfId="0" applyNumberFormat="1" applyFont="1" applyFill="1" applyBorder="1" applyAlignment="1">
      <alignment horizontal="left" wrapText="1"/>
    </xf>
    <xf numFmtId="49" fontId="27" fillId="0" borderId="0" xfId="0" applyNumberFormat="1" applyFont="1" applyFill="1"/>
    <xf numFmtId="0" fontId="27" fillId="0" borderId="0" xfId="0" applyFont="1" applyFill="1" applyAlignment="1">
      <alignment horizontal="center"/>
    </xf>
    <xf numFmtId="0" fontId="40" fillId="0" borderId="0" xfId="0" applyFont="1" applyFill="1" applyAlignment="1">
      <alignment horizontal="center"/>
    </xf>
    <xf numFmtId="2" fontId="27" fillId="0" borderId="0" xfId="0" applyNumberFormat="1" applyFont="1" applyFill="1"/>
    <xf numFmtId="0" fontId="40" fillId="0" borderId="0" xfId="0" applyFont="1" applyFill="1"/>
    <xf numFmtId="167" fontId="27" fillId="0" borderId="0" xfId="0" applyNumberFormat="1" applyFont="1" applyFill="1"/>
    <xf numFmtId="49" fontId="27" fillId="0" borderId="0" xfId="0" applyNumberFormat="1" applyFont="1" applyFill="1" applyBorder="1" applyAlignment="1"/>
    <xf numFmtId="49" fontId="27" fillId="0" borderId="0" xfId="0" applyNumberFormat="1" applyFont="1" applyFill="1" applyBorder="1" applyAlignment="1">
      <alignment horizontal="center" wrapText="1"/>
    </xf>
    <xf numFmtId="49" fontId="40" fillId="0" borderId="0" xfId="0" applyNumberFormat="1" applyFont="1" applyFill="1" applyBorder="1" applyAlignment="1">
      <alignment horizontal="center" wrapText="1"/>
    </xf>
    <xf numFmtId="2" fontId="27" fillId="0" borderId="0" xfId="0" applyNumberFormat="1" applyFont="1" applyFill="1" applyBorder="1" applyAlignment="1">
      <alignment wrapText="1"/>
    </xf>
    <xf numFmtId="49" fontId="40" fillId="0" borderId="0" xfId="0" applyNumberFormat="1" applyFont="1" applyFill="1" applyBorder="1" applyAlignment="1">
      <alignment wrapText="1"/>
    </xf>
    <xf numFmtId="167" fontId="41" fillId="0" borderId="0" xfId="0" applyNumberFormat="1" applyFont="1" applyFill="1"/>
  </cellXfs>
  <cellStyles count="4">
    <cellStyle name="Comma" xfId="2" builtinId="3"/>
    <cellStyle name="Normal" xfId="0" builtinId="0"/>
    <cellStyle name="Normal_ตัวชี้วัด 3_4ตรี" xfId="3"/>
    <cellStyle name="ปกติ_Sheet1" xfId="1"/>
  </cellStyles>
  <dxfs count="0"/>
  <tableStyles count="0" defaultTableStyle="TableStyleMedium2" defaultPivotStyle="PivotStyleLight16"/>
  <colors>
    <mruColors>
      <color rgb="FF0000FF"/>
      <color rgb="FFFFD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317500</xdr:colOff>
      <xdr:row>2</xdr:row>
      <xdr:rowOff>201084</xdr:rowOff>
    </xdr:from>
    <xdr:to>
      <xdr:col>6</xdr:col>
      <xdr:colOff>412750</xdr:colOff>
      <xdr:row>3</xdr:row>
      <xdr:rowOff>31750</xdr:rowOff>
    </xdr:to>
    <xdr:sp macro="" textlink="">
      <xdr:nvSpPr>
        <xdr:cNvPr id="2" name="Down Arrow 1"/>
        <xdr:cNvSpPr/>
      </xdr:nvSpPr>
      <xdr:spPr>
        <a:xfrm>
          <a:off x="6000750" y="846667"/>
          <a:ext cx="95250" cy="13758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285751</xdr:colOff>
      <xdr:row>2</xdr:row>
      <xdr:rowOff>232834</xdr:rowOff>
    </xdr:from>
    <xdr:to>
      <xdr:col>14</xdr:col>
      <xdr:colOff>381001</xdr:colOff>
      <xdr:row>3</xdr:row>
      <xdr:rowOff>63500</xdr:rowOff>
    </xdr:to>
    <xdr:sp macro="" textlink="">
      <xdr:nvSpPr>
        <xdr:cNvPr id="3" name="Down Arrow 2"/>
        <xdr:cNvSpPr/>
      </xdr:nvSpPr>
      <xdr:spPr>
        <a:xfrm>
          <a:off x="10773834" y="878417"/>
          <a:ext cx="95250" cy="13758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317500</xdr:colOff>
      <xdr:row>2</xdr:row>
      <xdr:rowOff>201084</xdr:rowOff>
    </xdr:from>
    <xdr:to>
      <xdr:col>6</xdr:col>
      <xdr:colOff>412750</xdr:colOff>
      <xdr:row>3</xdr:row>
      <xdr:rowOff>31750</xdr:rowOff>
    </xdr:to>
    <xdr:sp macro="" textlink="">
      <xdr:nvSpPr>
        <xdr:cNvPr id="2" name="Down Arrow 1"/>
        <xdr:cNvSpPr/>
      </xdr:nvSpPr>
      <xdr:spPr>
        <a:xfrm>
          <a:off x="5994400" y="848784"/>
          <a:ext cx="95250" cy="1354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247651</xdr:colOff>
      <xdr:row>2</xdr:row>
      <xdr:rowOff>204259</xdr:rowOff>
    </xdr:from>
    <xdr:to>
      <xdr:col>13</xdr:col>
      <xdr:colOff>342901</xdr:colOff>
      <xdr:row>3</xdr:row>
      <xdr:rowOff>34925</xdr:rowOff>
    </xdr:to>
    <xdr:sp macro="" textlink="">
      <xdr:nvSpPr>
        <xdr:cNvPr id="3" name="Down Arrow 2"/>
        <xdr:cNvSpPr/>
      </xdr:nvSpPr>
      <xdr:spPr>
        <a:xfrm>
          <a:off x="9820276" y="851959"/>
          <a:ext cx="95250" cy="1354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C84"/>
  <sheetViews>
    <sheetView showZeros="0" tabSelected="1" zoomScaleNormal="100" zoomScaleSheetLayoutView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"/>
    </sheetView>
  </sheetViews>
  <sheetFormatPr defaultColWidth="8.85546875" defaultRowHeight="15"/>
  <cols>
    <col min="1" max="1" width="65.28515625" style="118" bestFit="1" customWidth="1"/>
    <col min="2" max="2" width="6.7109375" style="100" bestFit="1" customWidth="1"/>
    <col min="3" max="3" width="7.140625" style="100" customWidth="1"/>
    <col min="4" max="4" width="11.7109375" style="438" customWidth="1"/>
    <col min="5" max="5" width="9.7109375" style="100" customWidth="1"/>
    <col min="6" max="6" width="10.42578125" style="111" customWidth="1"/>
    <col min="7" max="7" width="9.5703125" style="100" customWidth="1"/>
    <col min="8" max="8" width="7.7109375" style="100" customWidth="1"/>
    <col min="9" max="9" width="8.42578125" style="100" bestFit="1" customWidth="1"/>
    <col min="10" max="10" width="7.7109375" style="100" customWidth="1"/>
    <col min="11" max="11" width="7.7109375" style="283" customWidth="1"/>
    <col min="12" max="12" width="5.140625" style="100" customWidth="1"/>
    <col min="13" max="13" width="5" style="100" customWidth="1"/>
    <col min="14" max="14" width="5.28515625" style="100" customWidth="1"/>
    <col min="15" max="15" width="6.5703125" style="150" customWidth="1"/>
    <col min="16" max="16" width="5.85546875" style="100" customWidth="1"/>
    <col min="17" max="17" width="7.5703125" style="100" customWidth="1"/>
    <col min="18" max="18" width="7.42578125" style="100" customWidth="1"/>
    <col min="19" max="19" width="7.7109375" style="100" customWidth="1"/>
    <col min="20" max="20" width="40.28515625" style="1018" bestFit="1" customWidth="1"/>
    <col min="21" max="21" width="6.5703125" style="1018" customWidth="1"/>
    <col min="22" max="26" width="6.5703125" style="150" customWidth="1"/>
    <col min="27" max="27" width="6.5703125" style="990" customWidth="1"/>
    <col min="28" max="29" width="6.5703125" style="150" customWidth="1"/>
    <col min="30" max="16384" width="8.85546875" style="150"/>
  </cols>
  <sheetData>
    <row r="1" spans="1:28" ht="27.75" customHeight="1">
      <c r="A1" s="944" t="s">
        <v>131</v>
      </c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  <c r="O1" s="944"/>
      <c r="P1" s="944"/>
      <c r="Q1" s="944"/>
      <c r="R1" s="944"/>
      <c r="S1" s="319"/>
      <c r="T1" s="988"/>
      <c r="U1" s="988"/>
      <c r="V1" s="989"/>
      <c r="W1" s="989"/>
      <c r="X1" s="989"/>
      <c r="Y1" s="989"/>
      <c r="Z1" s="989"/>
    </row>
    <row r="2" spans="1:28" s="994" customFormat="1" ht="23.25" customHeight="1">
      <c r="A2" s="945" t="s">
        <v>132</v>
      </c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  <c r="O2" s="945"/>
      <c r="P2" s="945"/>
      <c r="Q2" s="945"/>
      <c r="R2" s="945"/>
      <c r="S2" s="320"/>
      <c r="T2" s="991"/>
      <c r="U2" s="991"/>
      <c r="V2" s="992"/>
      <c r="W2" s="992"/>
      <c r="X2" s="992"/>
      <c r="Y2" s="992"/>
      <c r="Z2" s="992"/>
      <c r="AA2" s="993"/>
    </row>
    <row r="3" spans="1:28" s="994" customFormat="1" ht="34.5" customHeight="1" thickBot="1">
      <c r="A3" s="1029" t="s">
        <v>100</v>
      </c>
      <c r="B3" s="98"/>
      <c r="C3" s="98"/>
      <c r="D3" s="1102" t="s">
        <v>141</v>
      </c>
      <c r="E3" s="98"/>
      <c r="F3" s="151"/>
      <c r="G3" s="98"/>
      <c r="H3" s="98"/>
      <c r="I3" s="98"/>
      <c r="J3" s="98"/>
      <c r="K3" s="278"/>
      <c r="L3" s="98"/>
      <c r="M3" s="98"/>
      <c r="N3" s="98"/>
      <c r="O3" s="147"/>
      <c r="P3" s="98"/>
      <c r="Q3" s="98"/>
      <c r="R3" s="98"/>
      <c r="S3" s="98"/>
      <c r="T3" s="991"/>
      <c r="U3" s="991"/>
      <c r="V3" s="995"/>
      <c r="W3" s="996"/>
      <c r="X3" s="996"/>
      <c r="Y3" s="996"/>
      <c r="Z3" s="996"/>
      <c r="AA3" s="993"/>
    </row>
    <row r="4" spans="1:28" ht="42" customHeight="1">
      <c r="A4" s="946" t="s">
        <v>0</v>
      </c>
      <c r="B4" s="948" t="s">
        <v>148</v>
      </c>
      <c r="C4" s="949"/>
      <c r="D4" s="982" t="s">
        <v>149</v>
      </c>
      <c r="E4" s="1109" t="s">
        <v>44</v>
      </c>
      <c r="F4" s="1107"/>
      <c r="G4" s="1107"/>
      <c r="H4" s="1110"/>
      <c r="I4" s="1106" t="s">
        <v>20</v>
      </c>
      <c r="J4" s="1107"/>
      <c r="K4" s="1108"/>
      <c r="L4" s="1103" t="s">
        <v>150</v>
      </c>
      <c r="M4" s="1104"/>
      <c r="N4" s="1104"/>
      <c r="O4" s="1104"/>
      <c r="P4" s="1105"/>
      <c r="Q4" s="1106" t="s">
        <v>21</v>
      </c>
      <c r="R4" s="1107"/>
      <c r="S4" s="1108"/>
      <c r="T4" s="997"/>
      <c r="U4" s="997"/>
      <c r="V4" s="998"/>
      <c r="W4" s="998"/>
      <c r="X4" s="998"/>
      <c r="Y4" s="998"/>
      <c r="Z4" s="998"/>
    </row>
    <row r="5" spans="1:28" ht="82.5" customHeight="1" thickBot="1">
      <c r="A5" s="947"/>
      <c r="B5" s="25" t="s">
        <v>134</v>
      </c>
      <c r="C5" s="29" t="s">
        <v>135</v>
      </c>
      <c r="D5" s="983"/>
      <c r="E5" s="195" t="s">
        <v>41</v>
      </c>
      <c r="F5" s="109" t="s">
        <v>42</v>
      </c>
      <c r="G5" s="1031" t="s">
        <v>43</v>
      </c>
      <c r="H5" s="1045" t="s">
        <v>142</v>
      </c>
      <c r="I5" s="1032" t="s">
        <v>95</v>
      </c>
      <c r="J5" s="227" t="s">
        <v>94</v>
      </c>
      <c r="K5" s="279" t="s">
        <v>93</v>
      </c>
      <c r="L5" s="164" t="s">
        <v>27</v>
      </c>
      <c r="M5" s="165">
        <v>2</v>
      </c>
      <c r="N5" s="166">
        <v>3</v>
      </c>
      <c r="O5" s="167" t="s">
        <v>28</v>
      </c>
      <c r="P5" s="1061" t="s">
        <v>19</v>
      </c>
      <c r="Q5" s="24" t="s">
        <v>90</v>
      </c>
      <c r="R5" s="227" t="s">
        <v>91</v>
      </c>
      <c r="S5" s="255" t="s">
        <v>92</v>
      </c>
      <c r="T5" s="304"/>
      <c r="U5" s="999"/>
      <c r="V5" s="1000"/>
      <c r="W5" s="1000"/>
      <c r="X5" s="1000"/>
      <c r="Y5" s="1000"/>
      <c r="Z5" s="1000"/>
    </row>
    <row r="6" spans="1:28" ht="18.95" customHeight="1">
      <c r="A6" s="14" t="s">
        <v>1</v>
      </c>
      <c r="B6" s="17"/>
      <c r="C6" s="20"/>
      <c r="D6" s="1083"/>
      <c r="E6" s="18"/>
      <c r="F6" s="26"/>
      <c r="G6" s="20"/>
      <c r="H6" s="1046"/>
      <c r="I6" s="1033"/>
      <c r="J6" s="26"/>
      <c r="K6" s="280"/>
      <c r="L6" s="17"/>
      <c r="M6" s="20"/>
      <c r="N6" s="26"/>
      <c r="O6" s="148"/>
      <c r="P6" s="1062"/>
      <c r="Q6" s="19"/>
      <c r="R6" s="228"/>
      <c r="S6" s="256"/>
      <c r="T6" s="304" t="s">
        <v>34</v>
      </c>
      <c r="U6" s="1001"/>
      <c r="V6" s="1002"/>
      <c r="W6" s="1002"/>
      <c r="X6" s="1002"/>
      <c r="Y6" s="1002"/>
      <c r="Z6" s="1002"/>
    </row>
    <row r="7" spans="1:28" ht="18.95" customHeight="1">
      <c r="A7" s="2" t="s">
        <v>2</v>
      </c>
      <c r="B7" s="129">
        <v>60</v>
      </c>
      <c r="C7" s="130">
        <v>57</v>
      </c>
      <c r="D7" s="1084">
        <v>60</v>
      </c>
      <c r="E7" s="132">
        <v>27</v>
      </c>
      <c r="F7" s="136">
        <v>14</v>
      </c>
      <c r="G7" s="130"/>
      <c r="H7" s="1047">
        <f>SUM(E7:G7)</f>
        <v>41</v>
      </c>
      <c r="I7" s="1034">
        <f>+H7/B7*100</f>
        <v>68.333333333333329</v>
      </c>
      <c r="J7" s="229">
        <f>+H7/C7*100</f>
        <v>71.929824561403507</v>
      </c>
      <c r="K7" s="257">
        <f>+H7/D7*100</f>
        <v>68.333333333333329</v>
      </c>
      <c r="L7" s="359">
        <v>3</v>
      </c>
      <c r="M7" s="906">
        <v>3</v>
      </c>
      <c r="N7" s="363"/>
      <c r="O7" s="907"/>
      <c r="P7" s="1063">
        <f>SUM(L7:O7)</f>
        <v>6</v>
      </c>
      <c r="Q7" s="135">
        <f>P7/B7*100</f>
        <v>10</v>
      </c>
      <c r="R7" s="229">
        <f>(P7-L7)/C7*100</f>
        <v>5.2631578947368416</v>
      </c>
      <c r="S7" s="257">
        <f>(P7)/D7*100</f>
        <v>10</v>
      </c>
      <c r="T7" s="1003">
        <f t="shared" ref="T7:T16" si="0">SUM(E7:F7)</f>
        <v>41</v>
      </c>
      <c r="U7" s="1001"/>
      <c r="V7" s="1002"/>
      <c r="W7" s="1002"/>
      <c r="X7" s="1002"/>
      <c r="Y7" s="1002"/>
      <c r="Z7" s="1002"/>
    </row>
    <row r="8" spans="1:28" ht="18.95" customHeight="1">
      <c r="A8" s="133" t="s">
        <v>30</v>
      </c>
      <c r="B8" s="63"/>
      <c r="C8" s="64"/>
      <c r="D8" s="1085"/>
      <c r="E8" s="66"/>
      <c r="F8" s="65"/>
      <c r="G8" s="64"/>
      <c r="H8" s="1048">
        <f t="shared" ref="H8:H16" si="1">SUM(E8:G8)</f>
        <v>0</v>
      </c>
      <c r="I8" s="986"/>
      <c r="J8" s="230"/>
      <c r="K8" s="259"/>
      <c r="L8" s="375"/>
      <c r="M8" s="908"/>
      <c r="N8" s="379"/>
      <c r="O8" s="909"/>
      <c r="P8" s="1064">
        <f t="shared" ref="P8:P16" si="2">SUM(L8:O8)</f>
        <v>0</v>
      </c>
      <c r="Q8" s="87"/>
      <c r="R8" s="65"/>
      <c r="S8" s="258"/>
      <c r="T8" s="1003">
        <f t="shared" si="0"/>
        <v>0</v>
      </c>
      <c r="U8" s="1001"/>
      <c r="V8" s="1002"/>
      <c r="W8" s="1002"/>
      <c r="X8" s="1002"/>
      <c r="Y8" s="1002"/>
      <c r="Z8" s="1002"/>
    </row>
    <row r="9" spans="1:28" ht="18.95" customHeight="1">
      <c r="A9" s="196" t="s">
        <v>49</v>
      </c>
      <c r="B9" s="63">
        <v>17</v>
      </c>
      <c r="C9" s="64">
        <v>15</v>
      </c>
      <c r="D9" s="1085">
        <v>2</v>
      </c>
      <c r="E9" s="66"/>
      <c r="F9" s="65"/>
      <c r="G9" s="64"/>
      <c r="H9" s="1048">
        <f t="shared" si="1"/>
        <v>0</v>
      </c>
      <c r="I9" s="1035"/>
      <c r="J9" s="252"/>
      <c r="K9" s="1030"/>
      <c r="L9" s="375">
        <v>2</v>
      </c>
      <c r="M9" s="908"/>
      <c r="N9" s="379"/>
      <c r="O9" s="909"/>
      <c r="P9" s="1064">
        <f t="shared" si="2"/>
        <v>2</v>
      </c>
      <c r="Q9" s="87"/>
      <c r="R9" s="65"/>
      <c r="S9" s="258"/>
      <c r="T9" s="1003">
        <f t="shared" si="0"/>
        <v>0</v>
      </c>
      <c r="U9" s="1001"/>
      <c r="V9" s="1002"/>
      <c r="W9" s="1002"/>
      <c r="X9" s="1002"/>
      <c r="Y9" s="1002"/>
      <c r="Z9" s="1002"/>
    </row>
    <row r="10" spans="1:28" ht="18.95" customHeight="1">
      <c r="A10" s="11" t="s">
        <v>50</v>
      </c>
      <c r="B10" s="63">
        <v>2</v>
      </c>
      <c r="C10" s="64">
        <v>1</v>
      </c>
      <c r="D10" s="1085">
        <v>5</v>
      </c>
      <c r="E10" s="66"/>
      <c r="F10" s="65">
        <v>3</v>
      </c>
      <c r="G10" s="64"/>
      <c r="H10" s="1048">
        <f t="shared" si="1"/>
        <v>3</v>
      </c>
      <c r="I10" s="986"/>
      <c r="J10" s="230"/>
      <c r="K10" s="259">
        <f>(E10+F10)/D10*100</f>
        <v>60</v>
      </c>
      <c r="L10" s="375">
        <v>1</v>
      </c>
      <c r="M10" s="908"/>
      <c r="N10" s="379">
        <v>1</v>
      </c>
      <c r="O10" s="909"/>
      <c r="P10" s="1064">
        <f t="shared" si="2"/>
        <v>2</v>
      </c>
      <c r="Q10" s="87"/>
      <c r="R10" s="65"/>
      <c r="S10" s="258"/>
      <c r="T10" s="1003">
        <f t="shared" si="0"/>
        <v>3</v>
      </c>
      <c r="U10" s="1001"/>
      <c r="V10" s="1002"/>
      <c r="W10" s="1002"/>
      <c r="X10" s="1002"/>
      <c r="Y10" s="1002"/>
      <c r="Z10" s="1002"/>
    </row>
    <row r="11" spans="1:28" ht="18.95" customHeight="1">
      <c r="A11" s="11" t="s">
        <v>51</v>
      </c>
      <c r="B11" s="63">
        <v>1</v>
      </c>
      <c r="C11" s="64">
        <v>1</v>
      </c>
      <c r="D11" s="1085">
        <v>4</v>
      </c>
      <c r="E11" s="66"/>
      <c r="F11" s="65">
        <v>4</v>
      </c>
      <c r="G11" s="64"/>
      <c r="H11" s="1048">
        <f t="shared" si="1"/>
        <v>4</v>
      </c>
      <c r="I11" s="986"/>
      <c r="J11" s="230"/>
      <c r="K11" s="259">
        <f>(E11+F11)/D11*100</f>
        <v>100</v>
      </c>
      <c r="L11" s="375"/>
      <c r="M11" s="908"/>
      <c r="N11" s="379"/>
      <c r="O11" s="909"/>
      <c r="P11" s="1064">
        <f t="shared" si="2"/>
        <v>0</v>
      </c>
      <c r="Q11" s="88"/>
      <c r="R11" s="230"/>
      <c r="S11" s="259"/>
      <c r="T11" s="1003">
        <f t="shared" si="0"/>
        <v>4</v>
      </c>
      <c r="U11" s="1001"/>
      <c r="V11" s="1002"/>
      <c r="W11" s="1002"/>
      <c r="X11" s="1002"/>
      <c r="Y11" s="1002"/>
      <c r="Z11" s="1002"/>
    </row>
    <row r="12" spans="1:28" ht="18.95" customHeight="1">
      <c r="A12" s="11" t="s">
        <v>31</v>
      </c>
      <c r="B12" s="63"/>
      <c r="C12" s="64"/>
      <c r="D12" s="1085">
        <v>1</v>
      </c>
      <c r="E12" s="66"/>
      <c r="F12" s="65">
        <v>1</v>
      </c>
      <c r="G12" s="64"/>
      <c r="H12" s="1048">
        <f t="shared" si="1"/>
        <v>1</v>
      </c>
      <c r="I12" s="986"/>
      <c r="J12" s="230"/>
      <c r="K12" s="259"/>
      <c r="L12" s="375"/>
      <c r="M12" s="908"/>
      <c r="N12" s="379"/>
      <c r="O12" s="909"/>
      <c r="P12" s="1064">
        <f t="shared" si="2"/>
        <v>0</v>
      </c>
      <c r="Q12" s="88"/>
      <c r="R12" s="230"/>
      <c r="S12" s="259"/>
      <c r="T12" s="1003">
        <f t="shared" si="0"/>
        <v>1</v>
      </c>
      <c r="U12" s="1001"/>
      <c r="V12" s="1002"/>
      <c r="W12" s="1002"/>
      <c r="X12" s="1002"/>
      <c r="Y12" s="1002"/>
      <c r="Z12" s="1002"/>
    </row>
    <row r="13" spans="1:28" ht="18.95" customHeight="1">
      <c r="A13" s="11" t="s">
        <v>52</v>
      </c>
      <c r="B13" s="63">
        <v>3</v>
      </c>
      <c r="C13" s="64">
        <v>3</v>
      </c>
      <c r="D13" s="1085">
        <v>5</v>
      </c>
      <c r="E13" s="66"/>
      <c r="F13" s="65">
        <v>2</v>
      </c>
      <c r="G13" s="64"/>
      <c r="H13" s="1048">
        <f t="shared" si="1"/>
        <v>2</v>
      </c>
      <c r="I13" s="986"/>
      <c r="J13" s="230"/>
      <c r="K13" s="259">
        <f>(E13+F13)/D13*100</f>
        <v>40</v>
      </c>
      <c r="L13" s="375"/>
      <c r="M13" s="908"/>
      <c r="N13" s="379"/>
      <c r="O13" s="909"/>
      <c r="P13" s="1064">
        <f t="shared" si="2"/>
        <v>0</v>
      </c>
      <c r="Q13" s="87"/>
      <c r="R13" s="65"/>
      <c r="S13" s="258"/>
      <c r="T13" s="1003">
        <f t="shared" si="0"/>
        <v>2</v>
      </c>
      <c r="U13" s="1001"/>
      <c r="V13" s="1002"/>
      <c r="W13" s="1002"/>
      <c r="X13" s="1002"/>
      <c r="Y13" s="1002"/>
      <c r="Z13" s="1002"/>
    </row>
    <row r="14" spans="1:28" ht="18.95" customHeight="1">
      <c r="A14" s="11" t="s">
        <v>32</v>
      </c>
      <c r="B14" s="63"/>
      <c r="C14" s="64"/>
      <c r="D14" s="1085">
        <v>1</v>
      </c>
      <c r="E14" s="66"/>
      <c r="F14" s="65">
        <v>2</v>
      </c>
      <c r="G14" s="64"/>
      <c r="H14" s="1048">
        <f t="shared" si="1"/>
        <v>2</v>
      </c>
      <c r="I14" s="986"/>
      <c r="J14" s="230"/>
      <c r="K14" s="259"/>
      <c r="L14" s="375"/>
      <c r="M14" s="908"/>
      <c r="N14" s="379"/>
      <c r="O14" s="909"/>
      <c r="P14" s="1064">
        <f t="shared" si="2"/>
        <v>0</v>
      </c>
      <c r="Q14" s="87"/>
      <c r="R14" s="65"/>
      <c r="S14" s="258"/>
      <c r="T14" s="1003">
        <f t="shared" si="0"/>
        <v>2</v>
      </c>
      <c r="U14" s="1001"/>
      <c r="V14" s="1002"/>
      <c r="W14" s="1002"/>
      <c r="X14" s="1002"/>
      <c r="Y14" s="1002"/>
      <c r="Z14" s="1002"/>
    </row>
    <row r="15" spans="1:28" ht="18.95" customHeight="1">
      <c r="A15" s="11" t="s">
        <v>53</v>
      </c>
      <c r="B15" s="134">
        <v>3</v>
      </c>
      <c r="C15" s="184">
        <v>3</v>
      </c>
      <c r="D15" s="1086">
        <v>8</v>
      </c>
      <c r="E15" s="66">
        <v>1</v>
      </c>
      <c r="F15" s="65">
        <v>7</v>
      </c>
      <c r="G15" s="64"/>
      <c r="H15" s="1048">
        <f t="shared" si="1"/>
        <v>8</v>
      </c>
      <c r="I15" s="986"/>
      <c r="J15" s="230"/>
      <c r="K15" s="259">
        <f>(E15+F15)/D15*100</f>
        <v>100</v>
      </c>
      <c r="L15" s="375"/>
      <c r="M15" s="908"/>
      <c r="N15" s="379"/>
      <c r="O15" s="909"/>
      <c r="P15" s="1064">
        <f t="shared" si="2"/>
        <v>0</v>
      </c>
      <c r="Q15" s="88"/>
      <c r="R15" s="230"/>
      <c r="S15" s="259"/>
      <c r="T15" s="1003">
        <f t="shared" si="0"/>
        <v>8</v>
      </c>
      <c r="U15" s="1004"/>
      <c r="V15" s="1005"/>
      <c r="W15" s="1005"/>
      <c r="X15" s="1005"/>
      <c r="Y15" s="1005"/>
      <c r="Z15" s="1005"/>
      <c r="AB15" s="990"/>
    </row>
    <row r="16" spans="1:28" ht="18.95" customHeight="1">
      <c r="A16" s="146" t="s">
        <v>33</v>
      </c>
      <c r="B16" s="131"/>
      <c r="C16" s="185"/>
      <c r="D16" s="1087"/>
      <c r="E16" s="97"/>
      <c r="F16" s="103"/>
      <c r="G16" s="102"/>
      <c r="H16" s="1049">
        <f t="shared" si="1"/>
        <v>0</v>
      </c>
      <c r="I16" s="1036"/>
      <c r="J16" s="231"/>
      <c r="K16" s="260"/>
      <c r="L16" s="910"/>
      <c r="M16" s="911"/>
      <c r="N16" s="912"/>
      <c r="O16" s="913"/>
      <c r="P16" s="1065">
        <f t="shared" si="2"/>
        <v>0</v>
      </c>
      <c r="Q16" s="104"/>
      <c r="R16" s="231"/>
      <c r="S16" s="260"/>
      <c r="T16" s="1003">
        <f t="shared" si="0"/>
        <v>0</v>
      </c>
      <c r="U16" s="1004"/>
      <c r="V16" s="1005"/>
      <c r="W16" s="1005"/>
      <c r="X16" s="1005"/>
      <c r="Y16" s="1005"/>
      <c r="Z16" s="1005"/>
      <c r="AB16" s="990"/>
    </row>
    <row r="17" spans="1:28" ht="18.95" customHeight="1" thickBot="1">
      <c r="A17" s="5" t="s">
        <v>3</v>
      </c>
      <c r="B17" s="71">
        <f t="shared" ref="B17:H17" si="3">SUM(B7:B16)</f>
        <v>86</v>
      </c>
      <c r="C17" s="156">
        <f t="shared" si="3"/>
        <v>80</v>
      </c>
      <c r="D17" s="1088">
        <f t="shared" si="3"/>
        <v>86</v>
      </c>
      <c r="E17" s="71">
        <f t="shared" si="3"/>
        <v>28</v>
      </c>
      <c r="F17" s="156">
        <f t="shared" si="3"/>
        <v>33</v>
      </c>
      <c r="G17" s="156">
        <f t="shared" si="3"/>
        <v>0</v>
      </c>
      <c r="H17" s="1050">
        <f>SUM(H7:H16)</f>
        <v>61</v>
      </c>
      <c r="I17" s="210">
        <f>E17+F17/B17*100</f>
        <v>66.372093023255815</v>
      </c>
      <c r="J17" s="248">
        <f>E17+F17/C17*100</f>
        <v>69.25</v>
      </c>
      <c r="K17" s="277">
        <f t="shared" ref="K17:K78" si="4">(E17+F17)/D17*100</f>
        <v>70.930232558139537</v>
      </c>
      <c r="L17" s="914">
        <f>SUM(L7:L16)</f>
        <v>6</v>
      </c>
      <c r="M17" s="915">
        <f>SUM(M7:M16)</f>
        <v>3</v>
      </c>
      <c r="N17" s="916">
        <f>SUM(N7:N16)</f>
        <v>1</v>
      </c>
      <c r="O17" s="916">
        <f>SUM(O7:O16)</f>
        <v>0</v>
      </c>
      <c r="P17" s="1066">
        <f>SUM(P7:P16)</f>
        <v>10</v>
      </c>
      <c r="Q17" s="78">
        <f>P17/B17*100</f>
        <v>11.627906976744185</v>
      </c>
      <c r="R17" s="232">
        <f>(P17-L17)/C17*100</f>
        <v>5</v>
      </c>
      <c r="S17" s="277">
        <f>(P17)/D17*100</f>
        <v>11.627906976744185</v>
      </c>
      <c r="T17" s="1003"/>
      <c r="U17" s="1006"/>
      <c r="V17" s="1005"/>
      <c r="W17" s="1005"/>
      <c r="X17" s="1005"/>
      <c r="Y17" s="1005"/>
      <c r="Z17" s="1005"/>
    </row>
    <row r="18" spans="1:28" ht="18.95" customHeight="1">
      <c r="A18" s="6" t="s">
        <v>4</v>
      </c>
      <c r="B18" s="72"/>
      <c r="C18" s="157"/>
      <c r="D18" s="1089"/>
      <c r="E18" s="47"/>
      <c r="F18" s="46"/>
      <c r="G18" s="45"/>
      <c r="H18" s="1051"/>
      <c r="I18" s="1037"/>
      <c r="J18" s="54"/>
      <c r="K18" s="261"/>
      <c r="L18" s="917"/>
      <c r="M18" s="918"/>
      <c r="N18" s="919"/>
      <c r="O18" s="920"/>
      <c r="P18" s="1067"/>
      <c r="Q18" s="119"/>
      <c r="R18" s="233"/>
      <c r="S18" s="261"/>
      <c r="T18" s="304" t="s">
        <v>35</v>
      </c>
      <c r="U18" s="304"/>
      <c r="V18" s="1005"/>
      <c r="W18" s="1005"/>
      <c r="X18" s="1005"/>
      <c r="Y18" s="1005"/>
      <c r="Z18" s="1005"/>
    </row>
    <row r="19" spans="1:28" ht="18.95" customHeight="1">
      <c r="A19" s="108" t="s">
        <v>24</v>
      </c>
      <c r="B19" s="73">
        <v>186</v>
      </c>
      <c r="C19" s="186">
        <v>166</v>
      </c>
      <c r="D19" s="1090"/>
      <c r="E19" s="187"/>
      <c r="F19" s="34"/>
      <c r="G19" s="984"/>
      <c r="H19" s="1052"/>
      <c r="I19" s="1038">
        <f>E19+F19/B19*100</f>
        <v>0</v>
      </c>
      <c r="J19" s="985">
        <f>E19+F19/C19*100</f>
        <v>0</v>
      </c>
      <c r="K19" s="262"/>
      <c r="L19" s="987">
        <v>20</v>
      </c>
      <c r="M19" s="538">
        <v>6</v>
      </c>
      <c r="N19" s="538">
        <v>1</v>
      </c>
      <c r="O19" s="538">
        <v>1</v>
      </c>
      <c r="P19" s="1068">
        <f t="shared" ref="P19:P22" si="5">SUM(L19:O19)</f>
        <v>28</v>
      </c>
      <c r="Q19" s="83">
        <f>P19/B19*100</f>
        <v>15.053763440860216</v>
      </c>
      <c r="R19" s="234">
        <f>(P19-L19)/C19*100</f>
        <v>4.8192771084337354</v>
      </c>
      <c r="S19" s="257" t="e">
        <f>(P19-L19)/D19*100</f>
        <v>#DIV/0!</v>
      </c>
      <c r="T19" s="1003">
        <f>SUM(E19:F19)</f>
        <v>0</v>
      </c>
      <c r="U19" s="1004"/>
      <c r="V19" s="1005"/>
      <c r="W19" s="1005"/>
      <c r="X19" s="1005"/>
      <c r="Y19" s="1005"/>
      <c r="Z19" s="1005"/>
      <c r="AB19" s="990"/>
    </row>
    <row r="20" spans="1:28" ht="18.95" customHeight="1">
      <c r="A20" s="169" t="s">
        <v>22</v>
      </c>
      <c r="B20" s="121"/>
      <c r="C20" s="158"/>
      <c r="D20" s="1091">
        <v>186</v>
      </c>
      <c r="E20" s="33">
        <v>85</v>
      </c>
      <c r="F20" s="51">
        <v>49</v>
      </c>
      <c r="G20" s="50"/>
      <c r="H20" s="1053">
        <f>SUM(E20:G20)</f>
        <v>134</v>
      </c>
      <c r="I20" s="986">
        <f>+H20/B19*100</f>
        <v>72.043010752688176</v>
      </c>
      <c r="J20" s="230">
        <f>+H20/C19*100</f>
        <v>80.722891566265062</v>
      </c>
      <c r="K20" s="259">
        <f>+H20/D20*100</f>
        <v>72.043010752688176</v>
      </c>
      <c r="L20" s="462">
        <v>1</v>
      </c>
      <c r="M20" s="459">
        <v>5</v>
      </c>
      <c r="N20" s="458">
        <v>2</v>
      </c>
      <c r="O20" s="921">
        <v>2</v>
      </c>
      <c r="P20" s="1069">
        <f t="shared" si="5"/>
        <v>10</v>
      </c>
      <c r="Q20" s="84">
        <f>P20/B19*100</f>
        <v>5.376344086021505</v>
      </c>
      <c r="R20" s="235">
        <f>(P20-L20)/C19*100</f>
        <v>5.4216867469879517</v>
      </c>
      <c r="S20" s="259">
        <f>(P20-L20)/D20*100</f>
        <v>4.838709677419355</v>
      </c>
      <c r="T20" s="1003">
        <f>SUM(E20:F20)</f>
        <v>134</v>
      </c>
      <c r="U20" s="1004"/>
      <c r="V20" s="1005"/>
      <c r="W20" s="1005"/>
      <c r="X20" s="1005"/>
      <c r="Y20" s="1005"/>
      <c r="Z20" s="1005"/>
    </row>
    <row r="21" spans="1:28" ht="18.95" customHeight="1">
      <c r="A21" s="152" t="s">
        <v>96</v>
      </c>
      <c r="B21" s="75"/>
      <c r="C21" s="160"/>
      <c r="D21" s="1092"/>
      <c r="E21" s="35"/>
      <c r="F21" s="42"/>
      <c r="G21" s="41"/>
      <c r="H21" s="1053"/>
      <c r="I21" s="1039"/>
      <c r="J21" s="250"/>
      <c r="K21" s="263"/>
      <c r="L21" s="462"/>
      <c r="M21" s="459"/>
      <c r="N21" s="458"/>
      <c r="O21" s="921"/>
      <c r="P21" s="1069">
        <f t="shared" si="5"/>
        <v>0</v>
      </c>
      <c r="Q21" s="84"/>
      <c r="R21" s="235"/>
      <c r="S21" s="284"/>
      <c r="T21" s="1003"/>
      <c r="U21" s="1004"/>
      <c r="V21" s="1005"/>
      <c r="W21" s="1005"/>
      <c r="X21" s="1005"/>
      <c r="Y21" s="1005"/>
      <c r="Z21" s="1005"/>
    </row>
    <row r="22" spans="1:28" ht="18.95" customHeight="1">
      <c r="A22" s="8" t="s">
        <v>23</v>
      </c>
      <c r="B22" s="122">
        <v>129</v>
      </c>
      <c r="C22" s="158">
        <v>125</v>
      </c>
      <c r="D22" s="1091">
        <v>129</v>
      </c>
      <c r="E22" s="33"/>
      <c r="F22" s="51">
        <v>104</v>
      </c>
      <c r="G22" s="50"/>
      <c r="H22" s="1054">
        <f>SUM(E22:G22)</f>
        <v>104</v>
      </c>
      <c r="I22" s="1034">
        <f>+H22/B22*100</f>
        <v>80.620155038759691</v>
      </c>
      <c r="J22" s="229">
        <f>+H22/C22*100</f>
        <v>83.2</v>
      </c>
      <c r="K22" s="257">
        <f>+H22/D22*100</f>
        <v>80.620155038759691</v>
      </c>
      <c r="L22" s="514">
        <v>6</v>
      </c>
      <c r="M22" s="509">
        <v>10</v>
      </c>
      <c r="N22" s="508"/>
      <c r="O22" s="922">
        <v>1</v>
      </c>
      <c r="P22" s="1070">
        <f t="shared" si="5"/>
        <v>17</v>
      </c>
      <c r="Q22" s="81">
        <f>P22/B22*100</f>
        <v>13.178294573643413</v>
      </c>
      <c r="R22" s="236">
        <f>(P22-L22)/C22*100</f>
        <v>8.7999999999999989</v>
      </c>
      <c r="S22" s="285">
        <f>(Q22-M22)/D22*100</f>
        <v>2.4637942431344286</v>
      </c>
      <c r="T22" s="1003">
        <f>SUM(E22:F22)</f>
        <v>104</v>
      </c>
      <c r="U22" s="1004"/>
      <c r="V22" s="1005"/>
      <c r="W22" s="1005"/>
      <c r="X22" s="1005"/>
      <c r="Y22" s="1005"/>
      <c r="Z22" s="1005"/>
    </row>
    <row r="23" spans="1:28" ht="18.95" customHeight="1" thickBot="1">
      <c r="A23" s="170" t="s">
        <v>5</v>
      </c>
      <c r="B23" s="71">
        <f t="shared" ref="B23:H23" si="6">SUM(B19:B22)</f>
        <v>315</v>
      </c>
      <c r="C23" s="156">
        <f t="shared" si="6"/>
        <v>291</v>
      </c>
      <c r="D23" s="1088">
        <f t="shared" si="6"/>
        <v>315</v>
      </c>
      <c r="E23" s="71">
        <f t="shared" si="6"/>
        <v>85</v>
      </c>
      <c r="F23" s="137">
        <f t="shared" si="6"/>
        <v>153</v>
      </c>
      <c r="G23" s="156">
        <f t="shared" si="6"/>
        <v>0</v>
      </c>
      <c r="H23" s="1050">
        <f t="shared" si="6"/>
        <v>238</v>
      </c>
      <c r="I23" s="1040">
        <f>E23+F23/B23*100</f>
        <v>133.57142857142856</v>
      </c>
      <c r="J23" s="137">
        <f>E23+F23/C23*100</f>
        <v>137.57731958762886</v>
      </c>
      <c r="K23" s="265">
        <f t="shared" si="4"/>
        <v>75.555555555555557</v>
      </c>
      <c r="L23" s="914">
        <f>SUM(L19:L22)</f>
        <v>27</v>
      </c>
      <c r="M23" s="915">
        <f>SUM(M19:M22)</f>
        <v>21</v>
      </c>
      <c r="N23" s="916">
        <f>SUM(N19:N22)</f>
        <v>3</v>
      </c>
      <c r="O23" s="916">
        <f>SUM(O19:O22)</f>
        <v>4</v>
      </c>
      <c r="P23" s="1066">
        <f>SUM(P19:P22)</f>
        <v>55</v>
      </c>
      <c r="Q23" s="78">
        <f>P23/B23*100</f>
        <v>17.460317460317459</v>
      </c>
      <c r="R23" s="232">
        <f>(P23-L23)/C23*100</f>
        <v>9.6219931271477677</v>
      </c>
      <c r="S23" s="286">
        <f>(P23-L23)/D23*100</f>
        <v>8.8888888888888893</v>
      </c>
      <c r="T23" s="1003"/>
      <c r="U23" s="1006"/>
      <c r="V23" s="1005"/>
      <c r="W23" s="1005"/>
      <c r="X23" s="1005"/>
      <c r="Y23" s="1005"/>
      <c r="Z23" s="1005"/>
    </row>
    <row r="24" spans="1:28" ht="18.95" customHeight="1">
      <c r="A24" s="1" t="s">
        <v>6</v>
      </c>
      <c r="B24" s="74"/>
      <c r="C24" s="159"/>
      <c r="D24" s="1093"/>
      <c r="E24" s="38"/>
      <c r="F24" s="54"/>
      <c r="G24" s="53"/>
      <c r="H24" s="1055"/>
      <c r="I24" s="1037"/>
      <c r="J24" s="54"/>
      <c r="K24" s="266"/>
      <c r="L24" s="527"/>
      <c r="M24" s="525"/>
      <c r="N24" s="524"/>
      <c r="O24" s="923"/>
      <c r="P24" s="1071"/>
      <c r="Q24" s="82"/>
      <c r="R24" s="237"/>
      <c r="S24" s="287"/>
      <c r="T24" s="304" t="s">
        <v>35</v>
      </c>
      <c r="U24" s="304"/>
      <c r="V24" s="1005"/>
      <c r="W24" s="1005"/>
      <c r="X24" s="1005"/>
      <c r="Y24" s="1005"/>
      <c r="Z24" s="1005"/>
    </row>
    <row r="25" spans="1:28" ht="18.95" customHeight="1">
      <c r="A25" s="7" t="s">
        <v>7</v>
      </c>
      <c r="B25" s="123">
        <v>62</v>
      </c>
      <c r="C25" s="179">
        <v>62</v>
      </c>
      <c r="D25" s="1094">
        <v>62</v>
      </c>
      <c r="E25" s="32">
        <v>7</v>
      </c>
      <c r="F25" s="177">
        <v>34</v>
      </c>
      <c r="G25" s="178"/>
      <c r="H25" s="1047">
        <f>SUM(E25:G25)</f>
        <v>41</v>
      </c>
      <c r="I25" s="1034"/>
      <c r="J25" s="229"/>
      <c r="K25" s="262">
        <f t="shared" si="4"/>
        <v>66.129032258064512</v>
      </c>
      <c r="L25" s="542">
        <v>14</v>
      </c>
      <c r="M25" s="539">
        <v>3</v>
      </c>
      <c r="N25" s="538">
        <v>3</v>
      </c>
      <c r="O25" s="924"/>
      <c r="P25" s="1072">
        <f t="shared" ref="P25:P27" si="7">SUM(L25:O25)</f>
        <v>20</v>
      </c>
      <c r="Q25" s="83">
        <f>P25/B25*100</f>
        <v>32.258064516129032</v>
      </c>
      <c r="R25" s="234">
        <f>(P25-L25)/C25*100</f>
        <v>9.67741935483871</v>
      </c>
      <c r="S25" s="288">
        <f t="shared" ref="S25:S77" si="8">(P25-L25)/D25*100</f>
        <v>9.67741935483871</v>
      </c>
      <c r="T25" s="1003">
        <f>SUM(E25:F25)</f>
        <v>41</v>
      </c>
      <c r="U25" s="1004"/>
      <c r="V25" s="1005"/>
      <c r="W25" s="1005"/>
      <c r="X25" s="1005"/>
      <c r="Y25" s="1005"/>
      <c r="Z25" s="1005"/>
    </row>
    <row r="26" spans="1:28" ht="18.95" customHeight="1">
      <c r="A26" s="4" t="s">
        <v>8</v>
      </c>
      <c r="B26" s="75">
        <v>88</v>
      </c>
      <c r="C26" s="160">
        <v>80</v>
      </c>
      <c r="D26" s="1092">
        <v>88</v>
      </c>
      <c r="E26" s="35"/>
      <c r="F26" s="42">
        <v>40</v>
      </c>
      <c r="G26" s="41"/>
      <c r="H26" s="1048">
        <f t="shared" ref="H26:H27" si="9">SUM(E26:G26)</f>
        <v>40</v>
      </c>
      <c r="I26" s="986"/>
      <c r="J26" s="230"/>
      <c r="K26" s="263">
        <f t="shared" si="4"/>
        <v>45.454545454545453</v>
      </c>
      <c r="L26" s="462">
        <v>12</v>
      </c>
      <c r="M26" s="459">
        <v>9</v>
      </c>
      <c r="N26" s="458">
        <v>2</v>
      </c>
      <c r="O26" s="921">
        <v>2</v>
      </c>
      <c r="P26" s="1069">
        <f t="shared" si="7"/>
        <v>25</v>
      </c>
      <c r="Q26" s="84">
        <f>P26/B26*100</f>
        <v>28.40909090909091</v>
      </c>
      <c r="R26" s="235">
        <f>(P26-L26)/C26*100</f>
        <v>16.25</v>
      </c>
      <c r="S26" s="284">
        <f t="shared" si="8"/>
        <v>14.772727272727273</v>
      </c>
      <c r="T26" s="1003">
        <f>SUM(E26:F26)</f>
        <v>40</v>
      </c>
      <c r="U26" s="1004"/>
      <c r="V26" s="1005"/>
      <c r="W26" s="1005"/>
      <c r="X26" s="1005"/>
      <c r="Y26" s="1005"/>
      <c r="Z26" s="1005"/>
    </row>
    <row r="27" spans="1:28" ht="18.95" customHeight="1">
      <c r="A27" s="2" t="s">
        <v>9</v>
      </c>
      <c r="B27" s="121">
        <v>93</v>
      </c>
      <c r="C27" s="161">
        <v>82</v>
      </c>
      <c r="D27" s="1095">
        <v>93</v>
      </c>
      <c r="E27" s="37"/>
      <c r="F27" s="57">
        <v>12</v>
      </c>
      <c r="G27" s="56"/>
      <c r="H27" s="1049">
        <f t="shared" si="9"/>
        <v>12</v>
      </c>
      <c r="I27" s="197"/>
      <c r="J27" s="231"/>
      <c r="K27" s="267">
        <f t="shared" si="4"/>
        <v>12.903225806451612</v>
      </c>
      <c r="L27" s="558">
        <v>15</v>
      </c>
      <c r="M27" s="555">
        <v>8</v>
      </c>
      <c r="N27" s="554">
        <v>2</v>
      </c>
      <c r="O27" s="925"/>
      <c r="P27" s="1073">
        <f t="shared" si="7"/>
        <v>25</v>
      </c>
      <c r="Q27" s="80">
        <f>P27/B27*100</f>
        <v>26.881720430107524</v>
      </c>
      <c r="R27" s="238">
        <f>(P27-L27)/C27*100</f>
        <v>12.195121951219512</v>
      </c>
      <c r="S27" s="289">
        <f t="shared" si="8"/>
        <v>10.75268817204301</v>
      </c>
      <c r="T27" s="1003">
        <f>SUM(E27:F27)</f>
        <v>12</v>
      </c>
      <c r="U27" s="1004"/>
      <c r="V27" s="1005"/>
      <c r="W27" s="1005"/>
      <c r="X27" s="1005"/>
      <c r="Y27" s="1005"/>
      <c r="Z27" s="1005"/>
    </row>
    <row r="28" spans="1:28" ht="18.95" customHeight="1" thickBot="1">
      <c r="A28" s="9" t="s">
        <v>10</v>
      </c>
      <c r="B28" s="71">
        <f t="shared" ref="B28:H28" si="10">SUM(B25:B27)</f>
        <v>243</v>
      </c>
      <c r="C28" s="156">
        <f t="shared" si="10"/>
        <v>224</v>
      </c>
      <c r="D28" s="1088">
        <f t="shared" si="10"/>
        <v>243</v>
      </c>
      <c r="E28" s="71">
        <f t="shared" si="10"/>
        <v>7</v>
      </c>
      <c r="F28" s="137">
        <f t="shared" si="10"/>
        <v>86</v>
      </c>
      <c r="G28" s="156">
        <f t="shared" si="10"/>
        <v>0</v>
      </c>
      <c r="H28" s="1050">
        <f t="shared" si="10"/>
        <v>93</v>
      </c>
      <c r="I28" s="1040">
        <f>E28+F28/B28*100</f>
        <v>42.390946502057616</v>
      </c>
      <c r="J28" s="137">
        <f>E28+F28/C28*100</f>
        <v>45.392857142857146</v>
      </c>
      <c r="K28" s="268">
        <f t="shared" si="4"/>
        <v>38.271604938271601</v>
      </c>
      <c r="L28" s="926">
        <f>SUM(L25:L27)</f>
        <v>41</v>
      </c>
      <c r="M28" s="927">
        <f>SUM(M25:M27)</f>
        <v>20</v>
      </c>
      <c r="N28" s="928">
        <f>SUM(N25:N27)</f>
        <v>7</v>
      </c>
      <c r="O28" s="928">
        <f>SUM(O25:O27)</f>
        <v>2</v>
      </c>
      <c r="P28" s="1074">
        <f>SUM(L28:O28)</f>
        <v>70</v>
      </c>
      <c r="Q28" s="79">
        <f>P28/B28*100</f>
        <v>28.806584362139919</v>
      </c>
      <c r="R28" s="239">
        <f>(P28-L28)/C28*100</f>
        <v>12.946428571428573</v>
      </c>
      <c r="S28" s="290">
        <f t="shared" si="8"/>
        <v>11.934156378600823</v>
      </c>
      <c r="T28" s="1003"/>
      <c r="U28" s="1006"/>
      <c r="V28" s="1005"/>
      <c r="W28" s="1005"/>
      <c r="X28" s="1005"/>
      <c r="Y28" s="1005"/>
      <c r="Z28" s="1005"/>
    </row>
    <row r="29" spans="1:28" ht="18.95" customHeight="1">
      <c r="A29" s="1" t="s">
        <v>11</v>
      </c>
      <c r="B29" s="74"/>
      <c r="C29" s="159"/>
      <c r="D29" s="1093"/>
      <c r="E29" s="38"/>
      <c r="F29" s="54"/>
      <c r="G29" s="53"/>
      <c r="H29" s="1055"/>
      <c r="I29" s="1037"/>
      <c r="J29" s="54"/>
      <c r="K29" s="266"/>
      <c r="L29" s="527"/>
      <c r="M29" s="525"/>
      <c r="N29" s="524"/>
      <c r="O29" s="923"/>
      <c r="P29" s="1071"/>
      <c r="Q29" s="82"/>
      <c r="R29" s="237"/>
      <c r="S29" s="287"/>
      <c r="T29" s="304" t="s">
        <v>35</v>
      </c>
      <c r="U29" s="304" t="s">
        <v>37</v>
      </c>
      <c r="V29" s="1005"/>
      <c r="W29" s="1005"/>
      <c r="X29" s="1005"/>
      <c r="Y29" s="1005"/>
      <c r="Z29" s="1005"/>
    </row>
    <row r="30" spans="1:28" ht="18.95" customHeight="1">
      <c r="A30" s="188" t="s">
        <v>38</v>
      </c>
      <c r="B30" s="76">
        <v>2013</v>
      </c>
      <c r="C30" s="162"/>
      <c r="D30" s="1090"/>
      <c r="E30" s="70"/>
      <c r="F30" s="69"/>
      <c r="G30" s="68"/>
      <c r="H30" s="1056"/>
      <c r="I30" s="1034">
        <f>E30+F30/B30*100</f>
        <v>0</v>
      </c>
      <c r="J30" s="229" t="e">
        <f>E30+F30/C30*100</f>
        <v>#DIV/0!</v>
      </c>
      <c r="K30" s="269" t="e">
        <f t="shared" si="4"/>
        <v>#DIV/0!</v>
      </c>
      <c r="L30" s="929">
        <v>191</v>
      </c>
      <c r="M30" s="930">
        <v>1</v>
      </c>
      <c r="N30" s="577"/>
      <c r="O30" s="931"/>
      <c r="P30" s="1075">
        <f t="shared" ref="P30:P60" si="11">SUM(L30:O30)</f>
        <v>192</v>
      </c>
      <c r="Q30" s="124">
        <f>P30/B30*100</f>
        <v>9.5380029806259312</v>
      </c>
      <c r="R30" s="240"/>
      <c r="S30" s="291" t="e">
        <f>(P30-L30)/D30*100</f>
        <v>#DIV/0!</v>
      </c>
      <c r="T30" s="1007"/>
      <c r="U30" s="1004"/>
      <c r="V30" s="1005"/>
      <c r="W30" s="1005"/>
      <c r="X30" s="1005"/>
      <c r="Y30" s="1005"/>
      <c r="Z30" s="1005"/>
    </row>
    <row r="31" spans="1:28" ht="18.95" customHeight="1">
      <c r="A31" s="191" t="s">
        <v>60</v>
      </c>
      <c r="B31" s="200"/>
      <c r="C31" s="201"/>
      <c r="D31" s="1095"/>
      <c r="E31" s="202"/>
      <c r="F31" s="203"/>
      <c r="G31" s="206"/>
      <c r="H31" s="1057"/>
      <c r="I31" s="986"/>
      <c r="J31" s="230"/>
      <c r="K31" s="270"/>
      <c r="L31" s="932"/>
      <c r="M31" s="933"/>
      <c r="N31" s="591"/>
      <c r="O31" s="934"/>
      <c r="P31" s="1076">
        <f t="shared" si="11"/>
        <v>0</v>
      </c>
      <c r="Q31" s="207"/>
      <c r="R31" s="241"/>
      <c r="S31" s="292"/>
      <c r="T31" s="1007"/>
      <c r="U31" s="1004"/>
      <c r="V31" s="1005"/>
      <c r="W31" s="1005"/>
      <c r="X31" s="1005"/>
      <c r="Y31" s="1005"/>
      <c r="Z31" s="1005"/>
    </row>
    <row r="32" spans="1:28" ht="18.95" customHeight="1">
      <c r="A32" s="191" t="s">
        <v>61</v>
      </c>
      <c r="B32" s="75">
        <v>33</v>
      </c>
      <c r="C32" s="160">
        <v>120</v>
      </c>
      <c r="D32" s="1092"/>
      <c r="E32" s="144">
        <v>3</v>
      </c>
      <c r="F32" s="142">
        <v>1</v>
      </c>
      <c r="G32" s="143"/>
      <c r="H32" s="1048">
        <f t="shared" ref="H32:H55" si="12">SUM(E32:G32)</f>
        <v>4</v>
      </c>
      <c r="I32" s="986"/>
      <c r="J32" s="230">
        <f>+H32/C32*100</f>
        <v>3.3333333333333335</v>
      </c>
      <c r="K32" s="271" t="e">
        <f t="shared" si="4"/>
        <v>#DIV/0!</v>
      </c>
      <c r="L32" s="607">
        <v>4</v>
      </c>
      <c r="M32" s="604">
        <v>1</v>
      </c>
      <c r="N32" s="603"/>
      <c r="O32" s="935">
        <v>1</v>
      </c>
      <c r="P32" s="1077">
        <f t="shared" si="11"/>
        <v>6</v>
      </c>
      <c r="Q32" s="145"/>
      <c r="R32" s="242">
        <f t="shared" ref="R32:R46" si="13">(P32-L32)/C32*100</f>
        <v>1.6666666666666667</v>
      </c>
      <c r="S32" s="293" t="e">
        <f t="shared" si="8"/>
        <v>#DIV/0!</v>
      </c>
      <c r="T32" s="1003">
        <f>SUM(E32:F32)</f>
        <v>4</v>
      </c>
      <c r="U32" s="1006">
        <f>+C32-T32</f>
        <v>116</v>
      </c>
      <c r="V32" s="1005"/>
      <c r="W32" s="1005"/>
      <c r="X32" s="1005"/>
      <c r="Y32" s="1005"/>
      <c r="Z32" s="1005"/>
    </row>
    <row r="33" spans="1:26" ht="18.95" customHeight="1">
      <c r="A33" s="190" t="s">
        <v>62</v>
      </c>
      <c r="B33" s="75">
        <v>30</v>
      </c>
      <c r="C33" s="160">
        <v>149</v>
      </c>
      <c r="D33" s="1092"/>
      <c r="E33" s="144">
        <v>1</v>
      </c>
      <c r="F33" s="142">
        <v>20</v>
      </c>
      <c r="G33" s="143"/>
      <c r="H33" s="1048">
        <f t="shared" si="12"/>
        <v>21</v>
      </c>
      <c r="I33" s="986"/>
      <c r="J33" s="230">
        <f t="shared" ref="J33:J60" si="14">+H33/C33*100</f>
        <v>14.093959731543624</v>
      </c>
      <c r="K33" s="271" t="e">
        <f t="shared" si="4"/>
        <v>#DIV/0!</v>
      </c>
      <c r="L33" s="607">
        <v>11</v>
      </c>
      <c r="M33" s="604">
        <v>32</v>
      </c>
      <c r="N33" s="603">
        <v>11</v>
      </c>
      <c r="O33" s="935">
        <v>2</v>
      </c>
      <c r="P33" s="1077">
        <f t="shared" si="11"/>
        <v>56</v>
      </c>
      <c r="Q33" s="145"/>
      <c r="R33" s="242">
        <f t="shared" si="13"/>
        <v>30.201342281879196</v>
      </c>
      <c r="S33" s="293" t="e">
        <f t="shared" si="8"/>
        <v>#DIV/0!</v>
      </c>
      <c r="T33" s="1003">
        <f t="shared" ref="T33:T59" si="15">SUM(E33:F33)</f>
        <v>21</v>
      </c>
      <c r="U33" s="1006">
        <f t="shared" ref="U33:U59" si="16">+C33-T33</f>
        <v>128</v>
      </c>
      <c r="V33" s="1008"/>
      <c r="W33" s="1005"/>
      <c r="X33" s="1005"/>
      <c r="Y33" s="1005"/>
      <c r="Z33" s="1005"/>
    </row>
    <row r="34" spans="1:26" ht="18.95" customHeight="1">
      <c r="A34" s="190" t="s">
        <v>63</v>
      </c>
      <c r="B34" s="75">
        <v>15</v>
      </c>
      <c r="C34" s="160">
        <v>121</v>
      </c>
      <c r="D34" s="1092"/>
      <c r="E34" s="144">
        <v>71</v>
      </c>
      <c r="F34" s="142">
        <v>33</v>
      </c>
      <c r="G34" s="143"/>
      <c r="H34" s="1048">
        <f t="shared" si="12"/>
        <v>104</v>
      </c>
      <c r="I34" s="986"/>
      <c r="J34" s="230">
        <f t="shared" si="14"/>
        <v>85.950413223140501</v>
      </c>
      <c r="K34" s="271" t="e">
        <f t="shared" si="4"/>
        <v>#DIV/0!</v>
      </c>
      <c r="L34" s="607"/>
      <c r="M34" s="604">
        <v>1</v>
      </c>
      <c r="N34" s="603">
        <v>1</v>
      </c>
      <c r="O34" s="935"/>
      <c r="P34" s="1077">
        <f t="shared" si="11"/>
        <v>2</v>
      </c>
      <c r="Q34" s="145"/>
      <c r="R34" s="242">
        <f t="shared" si="13"/>
        <v>1.6528925619834711</v>
      </c>
      <c r="S34" s="293" t="e">
        <f t="shared" si="8"/>
        <v>#DIV/0!</v>
      </c>
      <c r="T34" s="1003">
        <f t="shared" si="15"/>
        <v>104</v>
      </c>
      <c r="U34" s="1006">
        <f t="shared" si="16"/>
        <v>17</v>
      </c>
      <c r="V34" s="1005"/>
      <c r="W34" s="1005"/>
      <c r="X34" s="1005"/>
      <c r="Y34" s="1005"/>
      <c r="Z34" s="1005"/>
    </row>
    <row r="35" spans="1:26" ht="18.95" customHeight="1">
      <c r="A35" s="190" t="s">
        <v>64</v>
      </c>
      <c r="B35" s="75">
        <v>20</v>
      </c>
      <c r="C35" s="160">
        <v>150</v>
      </c>
      <c r="D35" s="1092"/>
      <c r="E35" s="144">
        <v>59</v>
      </c>
      <c r="F35" s="142">
        <v>51</v>
      </c>
      <c r="G35" s="143"/>
      <c r="H35" s="1048">
        <f t="shared" si="12"/>
        <v>110</v>
      </c>
      <c r="I35" s="986"/>
      <c r="J35" s="230">
        <f t="shared" si="14"/>
        <v>73.333333333333329</v>
      </c>
      <c r="K35" s="271" t="e">
        <f t="shared" si="4"/>
        <v>#DIV/0!</v>
      </c>
      <c r="L35" s="607"/>
      <c r="M35" s="604">
        <v>6</v>
      </c>
      <c r="N35" s="603">
        <v>6</v>
      </c>
      <c r="O35" s="935"/>
      <c r="P35" s="1077">
        <f t="shared" si="11"/>
        <v>12</v>
      </c>
      <c r="Q35" s="145"/>
      <c r="R35" s="242">
        <f t="shared" si="13"/>
        <v>8</v>
      </c>
      <c r="S35" s="293" t="e">
        <f t="shared" si="8"/>
        <v>#DIV/0!</v>
      </c>
      <c r="T35" s="1003">
        <f t="shared" si="15"/>
        <v>110</v>
      </c>
      <c r="U35" s="1006">
        <f t="shared" si="16"/>
        <v>40</v>
      </c>
      <c r="V35" s="1005"/>
      <c r="W35" s="1005"/>
      <c r="X35" s="1005"/>
      <c r="Y35" s="1005"/>
      <c r="Z35" s="1005"/>
    </row>
    <row r="36" spans="1:26" ht="18.95" customHeight="1">
      <c r="A36" s="190" t="s">
        <v>65</v>
      </c>
      <c r="B36" s="75">
        <v>21</v>
      </c>
      <c r="C36" s="160">
        <v>119</v>
      </c>
      <c r="D36" s="1092"/>
      <c r="E36" s="144"/>
      <c r="F36" s="142">
        <v>8</v>
      </c>
      <c r="G36" s="143"/>
      <c r="H36" s="1048">
        <f t="shared" si="12"/>
        <v>8</v>
      </c>
      <c r="I36" s="986"/>
      <c r="J36" s="230">
        <f t="shared" si="14"/>
        <v>6.7226890756302522</v>
      </c>
      <c r="K36" s="271" t="e">
        <f t="shared" si="4"/>
        <v>#DIV/0!</v>
      </c>
      <c r="L36" s="607">
        <v>2</v>
      </c>
      <c r="M36" s="604">
        <v>25</v>
      </c>
      <c r="N36" s="603">
        <v>12</v>
      </c>
      <c r="O36" s="935">
        <v>4</v>
      </c>
      <c r="P36" s="1077">
        <f t="shared" si="11"/>
        <v>43</v>
      </c>
      <c r="Q36" s="145"/>
      <c r="R36" s="242">
        <f t="shared" si="13"/>
        <v>34.45378151260504</v>
      </c>
      <c r="S36" s="293" t="e">
        <f t="shared" si="8"/>
        <v>#DIV/0!</v>
      </c>
      <c r="T36" s="1003">
        <f t="shared" si="15"/>
        <v>8</v>
      </c>
      <c r="U36" s="1006">
        <f t="shared" si="16"/>
        <v>111</v>
      </c>
      <c r="V36" s="1005"/>
      <c r="W36" s="1005"/>
      <c r="X36" s="1005"/>
      <c r="Y36" s="1005"/>
      <c r="Z36" s="1005"/>
    </row>
    <row r="37" spans="1:26" ht="18.95" customHeight="1">
      <c r="A37" s="190" t="s">
        <v>66</v>
      </c>
      <c r="B37" s="75">
        <v>41</v>
      </c>
      <c r="C37" s="160">
        <v>121</v>
      </c>
      <c r="D37" s="1092"/>
      <c r="E37" s="144">
        <v>71</v>
      </c>
      <c r="F37" s="142">
        <v>44</v>
      </c>
      <c r="G37" s="143"/>
      <c r="H37" s="1048">
        <f t="shared" si="12"/>
        <v>115</v>
      </c>
      <c r="I37" s="986"/>
      <c r="J37" s="230">
        <f t="shared" si="14"/>
        <v>95.041322314049594</v>
      </c>
      <c r="K37" s="271" t="e">
        <f t="shared" si="4"/>
        <v>#DIV/0!</v>
      </c>
      <c r="L37" s="607"/>
      <c r="M37" s="604">
        <v>2</v>
      </c>
      <c r="N37" s="603"/>
      <c r="O37" s="935"/>
      <c r="P37" s="1077">
        <f t="shared" si="11"/>
        <v>2</v>
      </c>
      <c r="Q37" s="145"/>
      <c r="R37" s="242">
        <f t="shared" si="13"/>
        <v>1.6528925619834711</v>
      </c>
      <c r="S37" s="293" t="e">
        <f t="shared" si="8"/>
        <v>#DIV/0!</v>
      </c>
      <c r="T37" s="1003">
        <f t="shared" si="15"/>
        <v>115</v>
      </c>
      <c r="U37" s="1006">
        <f t="shared" si="16"/>
        <v>6</v>
      </c>
      <c r="V37" s="1005"/>
      <c r="W37" s="1005"/>
      <c r="X37" s="1005"/>
      <c r="Y37" s="1005"/>
      <c r="Z37" s="1005"/>
    </row>
    <row r="38" spans="1:26" ht="18.95" customHeight="1">
      <c r="A38" s="190" t="s">
        <v>67</v>
      </c>
      <c r="B38" s="75">
        <v>16</v>
      </c>
      <c r="C38" s="160">
        <v>86</v>
      </c>
      <c r="D38" s="1092"/>
      <c r="E38" s="144">
        <v>7</v>
      </c>
      <c r="F38" s="142">
        <v>22</v>
      </c>
      <c r="G38" s="143"/>
      <c r="H38" s="1048">
        <f t="shared" si="12"/>
        <v>29</v>
      </c>
      <c r="I38" s="986"/>
      <c r="J38" s="230">
        <f t="shared" si="14"/>
        <v>33.720930232558139</v>
      </c>
      <c r="K38" s="271" t="e">
        <f t="shared" si="4"/>
        <v>#DIV/0!</v>
      </c>
      <c r="L38" s="607">
        <v>6</v>
      </c>
      <c r="M38" s="604">
        <v>12</v>
      </c>
      <c r="N38" s="603">
        <v>7</v>
      </c>
      <c r="O38" s="935"/>
      <c r="P38" s="1077">
        <f t="shared" si="11"/>
        <v>25</v>
      </c>
      <c r="Q38" s="145"/>
      <c r="R38" s="242">
        <f t="shared" si="13"/>
        <v>22.093023255813954</v>
      </c>
      <c r="S38" s="293" t="e">
        <f t="shared" si="8"/>
        <v>#DIV/0!</v>
      </c>
      <c r="T38" s="1003">
        <f t="shared" si="15"/>
        <v>29</v>
      </c>
      <c r="U38" s="1006">
        <f t="shared" si="16"/>
        <v>57</v>
      </c>
      <c r="V38" s="1005"/>
      <c r="W38" s="1005"/>
      <c r="X38" s="1005"/>
      <c r="Y38" s="1005"/>
      <c r="Z38" s="1005"/>
    </row>
    <row r="39" spans="1:26" ht="18.95" customHeight="1">
      <c r="A39" s="191" t="s">
        <v>68</v>
      </c>
      <c r="B39" s="75">
        <v>28</v>
      </c>
      <c r="C39" s="160">
        <v>122</v>
      </c>
      <c r="D39" s="1092"/>
      <c r="E39" s="144">
        <v>48</v>
      </c>
      <c r="F39" s="142">
        <v>46</v>
      </c>
      <c r="G39" s="143"/>
      <c r="H39" s="1048">
        <f t="shared" si="12"/>
        <v>94</v>
      </c>
      <c r="I39" s="986"/>
      <c r="J39" s="230">
        <f t="shared" si="14"/>
        <v>77.049180327868854</v>
      </c>
      <c r="K39" s="271" t="e">
        <f t="shared" si="4"/>
        <v>#DIV/0!</v>
      </c>
      <c r="L39" s="607">
        <v>2</v>
      </c>
      <c r="M39" s="604">
        <v>4</v>
      </c>
      <c r="N39" s="603">
        <v>1</v>
      </c>
      <c r="O39" s="935"/>
      <c r="P39" s="1077">
        <f t="shared" si="11"/>
        <v>7</v>
      </c>
      <c r="Q39" s="145"/>
      <c r="R39" s="242">
        <f t="shared" si="13"/>
        <v>4.0983606557377046</v>
      </c>
      <c r="S39" s="293" t="e">
        <f t="shared" si="8"/>
        <v>#DIV/0!</v>
      </c>
      <c r="T39" s="1003">
        <f t="shared" si="15"/>
        <v>94</v>
      </c>
      <c r="U39" s="1006">
        <f t="shared" si="16"/>
        <v>28</v>
      </c>
      <c r="V39" s="1005"/>
      <c r="W39" s="1005"/>
      <c r="X39" s="1005"/>
      <c r="Y39" s="1005"/>
      <c r="Z39" s="1005"/>
    </row>
    <row r="40" spans="1:26" ht="18.95" customHeight="1">
      <c r="A40" s="191" t="s">
        <v>69</v>
      </c>
      <c r="B40" s="75">
        <v>42</v>
      </c>
      <c r="C40" s="160">
        <v>129</v>
      </c>
      <c r="D40" s="1092"/>
      <c r="E40" s="144"/>
      <c r="F40" s="142">
        <v>11</v>
      </c>
      <c r="G40" s="143"/>
      <c r="H40" s="1048">
        <f t="shared" si="12"/>
        <v>11</v>
      </c>
      <c r="I40" s="986"/>
      <c r="J40" s="230">
        <f t="shared" si="14"/>
        <v>8.5271317829457356</v>
      </c>
      <c r="K40" s="271" t="e">
        <f t="shared" si="4"/>
        <v>#DIV/0!</v>
      </c>
      <c r="L40" s="607">
        <v>41</v>
      </c>
      <c r="M40" s="604">
        <v>39</v>
      </c>
      <c r="N40" s="603">
        <v>4</v>
      </c>
      <c r="O40" s="935">
        <v>3</v>
      </c>
      <c r="P40" s="1077">
        <f t="shared" si="11"/>
        <v>87</v>
      </c>
      <c r="Q40" s="145"/>
      <c r="R40" s="242">
        <f t="shared" si="13"/>
        <v>35.65891472868217</v>
      </c>
      <c r="S40" s="293" t="e">
        <f t="shared" si="8"/>
        <v>#DIV/0!</v>
      </c>
      <c r="T40" s="1003">
        <f t="shared" si="15"/>
        <v>11</v>
      </c>
      <c r="U40" s="1006">
        <f t="shared" si="16"/>
        <v>118</v>
      </c>
      <c r="V40" s="1008"/>
      <c r="W40" s="1005"/>
      <c r="X40" s="1005"/>
      <c r="Y40" s="1005"/>
      <c r="Z40" s="1005"/>
    </row>
    <row r="41" spans="1:26" ht="18.95" customHeight="1">
      <c r="A41" s="191" t="s">
        <v>70</v>
      </c>
      <c r="B41" s="75">
        <v>19</v>
      </c>
      <c r="C41" s="160">
        <v>180</v>
      </c>
      <c r="D41" s="1092"/>
      <c r="E41" s="144">
        <v>71</v>
      </c>
      <c r="F41" s="142">
        <v>79</v>
      </c>
      <c r="G41" s="143"/>
      <c r="H41" s="1048">
        <f t="shared" si="12"/>
        <v>150</v>
      </c>
      <c r="I41" s="986"/>
      <c r="J41" s="230">
        <f t="shared" si="14"/>
        <v>83.333333333333343</v>
      </c>
      <c r="K41" s="271" t="e">
        <f t="shared" si="4"/>
        <v>#DIV/0!</v>
      </c>
      <c r="L41" s="607">
        <v>1</v>
      </c>
      <c r="M41" s="604">
        <v>2</v>
      </c>
      <c r="N41" s="603">
        <v>2</v>
      </c>
      <c r="O41" s="935">
        <v>1</v>
      </c>
      <c r="P41" s="1077">
        <f t="shared" si="11"/>
        <v>6</v>
      </c>
      <c r="Q41" s="145"/>
      <c r="R41" s="242">
        <f t="shared" si="13"/>
        <v>2.7777777777777777</v>
      </c>
      <c r="S41" s="293" t="e">
        <f t="shared" si="8"/>
        <v>#DIV/0!</v>
      </c>
      <c r="T41" s="1003">
        <f t="shared" si="15"/>
        <v>150</v>
      </c>
      <c r="U41" s="1006">
        <f t="shared" si="16"/>
        <v>30</v>
      </c>
      <c r="V41" s="1005"/>
      <c r="W41" s="1005"/>
      <c r="X41" s="1005"/>
      <c r="Y41" s="1005"/>
      <c r="Z41" s="1005"/>
    </row>
    <row r="42" spans="1:26" ht="18.95" customHeight="1">
      <c r="A42" s="191" t="s">
        <v>71</v>
      </c>
      <c r="B42" s="75">
        <v>41</v>
      </c>
      <c r="C42" s="160">
        <v>149</v>
      </c>
      <c r="D42" s="1092"/>
      <c r="E42" s="144">
        <v>63</v>
      </c>
      <c r="F42" s="142">
        <v>60</v>
      </c>
      <c r="G42" s="143"/>
      <c r="H42" s="1048">
        <f t="shared" si="12"/>
        <v>123</v>
      </c>
      <c r="I42" s="986"/>
      <c r="J42" s="230">
        <f t="shared" si="14"/>
        <v>82.550335570469798</v>
      </c>
      <c r="K42" s="271" t="e">
        <f t="shared" si="4"/>
        <v>#DIV/0!</v>
      </c>
      <c r="L42" s="607">
        <v>3</v>
      </c>
      <c r="M42" s="604">
        <v>2</v>
      </c>
      <c r="N42" s="603">
        <v>1</v>
      </c>
      <c r="O42" s="935">
        <v>2</v>
      </c>
      <c r="P42" s="1077">
        <f t="shared" si="11"/>
        <v>8</v>
      </c>
      <c r="Q42" s="145"/>
      <c r="R42" s="242">
        <f t="shared" si="13"/>
        <v>3.3557046979865772</v>
      </c>
      <c r="S42" s="293" t="e">
        <f t="shared" si="8"/>
        <v>#DIV/0!</v>
      </c>
      <c r="T42" s="1003">
        <f t="shared" si="15"/>
        <v>123</v>
      </c>
      <c r="U42" s="1006">
        <f t="shared" si="16"/>
        <v>26</v>
      </c>
      <c r="V42" s="1005"/>
      <c r="W42" s="1005"/>
      <c r="X42" s="1005"/>
      <c r="Y42" s="1005"/>
      <c r="Z42" s="1005"/>
    </row>
    <row r="43" spans="1:26" ht="18.95" customHeight="1">
      <c r="A43" s="190" t="s">
        <v>72</v>
      </c>
      <c r="B43" s="75">
        <v>20</v>
      </c>
      <c r="C43" s="160">
        <v>120</v>
      </c>
      <c r="D43" s="1092"/>
      <c r="E43" s="144">
        <v>10</v>
      </c>
      <c r="F43" s="142">
        <v>22</v>
      </c>
      <c r="G43" s="143"/>
      <c r="H43" s="1048">
        <f t="shared" si="12"/>
        <v>32</v>
      </c>
      <c r="I43" s="986"/>
      <c r="J43" s="230">
        <f t="shared" si="14"/>
        <v>26.666666666666668</v>
      </c>
      <c r="K43" s="271" t="e">
        <f t="shared" si="4"/>
        <v>#DIV/0!</v>
      </c>
      <c r="L43" s="607">
        <v>6</v>
      </c>
      <c r="M43" s="604">
        <v>13</v>
      </c>
      <c r="N43" s="603">
        <v>3</v>
      </c>
      <c r="O43" s="935">
        <v>3</v>
      </c>
      <c r="P43" s="1077">
        <f t="shared" si="11"/>
        <v>25</v>
      </c>
      <c r="Q43" s="145"/>
      <c r="R43" s="242">
        <f t="shared" si="13"/>
        <v>15.833333333333332</v>
      </c>
      <c r="S43" s="293" t="e">
        <f t="shared" si="8"/>
        <v>#DIV/0!</v>
      </c>
      <c r="T43" s="1003">
        <f t="shared" si="15"/>
        <v>32</v>
      </c>
      <c r="U43" s="1006">
        <f t="shared" si="16"/>
        <v>88</v>
      </c>
      <c r="V43" s="1005"/>
      <c r="W43" s="1005"/>
      <c r="X43" s="1005"/>
      <c r="Y43" s="1005"/>
      <c r="Z43" s="1005"/>
    </row>
    <row r="44" spans="1:26" ht="18.95" customHeight="1">
      <c r="A44" s="189" t="s">
        <v>73</v>
      </c>
      <c r="B44" s="75">
        <v>14</v>
      </c>
      <c r="C44" s="160">
        <v>119</v>
      </c>
      <c r="D44" s="1092"/>
      <c r="E44" s="144">
        <v>12</v>
      </c>
      <c r="F44" s="142">
        <v>15</v>
      </c>
      <c r="G44" s="143"/>
      <c r="H44" s="1048">
        <f t="shared" si="12"/>
        <v>27</v>
      </c>
      <c r="I44" s="986"/>
      <c r="J44" s="230">
        <f t="shared" si="14"/>
        <v>22.689075630252102</v>
      </c>
      <c r="K44" s="271" t="e">
        <f t="shared" si="4"/>
        <v>#DIV/0!</v>
      </c>
      <c r="L44" s="607">
        <v>2</v>
      </c>
      <c r="M44" s="604">
        <v>14</v>
      </c>
      <c r="N44" s="603">
        <v>5</v>
      </c>
      <c r="O44" s="935">
        <v>1</v>
      </c>
      <c r="P44" s="1077">
        <f t="shared" si="11"/>
        <v>22</v>
      </c>
      <c r="Q44" s="145"/>
      <c r="R44" s="242">
        <f t="shared" si="13"/>
        <v>16.806722689075631</v>
      </c>
      <c r="S44" s="293" t="e">
        <f t="shared" si="8"/>
        <v>#DIV/0!</v>
      </c>
      <c r="T44" s="1003">
        <f t="shared" si="15"/>
        <v>27</v>
      </c>
      <c r="U44" s="1006">
        <f t="shared" si="16"/>
        <v>92</v>
      </c>
      <c r="V44" s="1005"/>
      <c r="W44" s="1005"/>
      <c r="X44" s="1005"/>
      <c r="Y44" s="1005"/>
      <c r="Z44" s="1005"/>
    </row>
    <row r="45" spans="1:26" ht="18.95" customHeight="1">
      <c r="A45" s="190" t="s">
        <v>74</v>
      </c>
      <c r="B45" s="75">
        <v>13</v>
      </c>
      <c r="C45" s="160">
        <v>92</v>
      </c>
      <c r="D45" s="1092"/>
      <c r="E45" s="144"/>
      <c r="F45" s="142">
        <v>76</v>
      </c>
      <c r="G45" s="143"/>
      <c r="H45" s="1048">
        <f t="shared" si="12"/>
        <v>76</v>
      </c>
      <c r="I45" s="986"/>
      <c r="J45" s="230">
        <f t="shared" si="14"/>
        <v>82.608695652173907</v>
      </c>
      <c r="K45" s="271" t="e">
        <f t="shared" si="4"/>
        <v>#DIV/0!</v>
      </c>
      <c r="L45" s="607"/>
      <c r="M45" s="604">
        <v>2</v>
      </c>
      <c r="N45" s="603"/>
      <c r="O45" s="935"/>
      <c r="P45" s="1077">
        <f t="shared" si="11"/>
        <v>2</v>
      </c>
      <c r="Q45" s="145"/>
      <c r="R45" s="242">
        <f t="shared" si="13"/>
        <v>2.1739130434782608</v>
      </c>
      <c r="S45" s="293" t="e">
        <f t="shared" si="8"/>
        <v>#DIV/0!</v>
      </c>
      <c r="T45" s="1003">
        <f t="shared" si="15"/>
        <v>76</v>
      </c>
      <c r="U45" s="1006">
        <f t="shared" si="16"/>
        <v>16</v>
      </c>
      <c r="V45" s="1005"/>
      <c r="W45" s="1005"/>
      <c r="X45" s="1005"/>
      <c r="Y45" s="1005"/>
      <c r="Z45" s="1005"/>
    </row>
    <row r="46" spans="1:26" ht="18.95" customHeight="1">
      <c r="A46" s="190" t="s">
        <v>75</v>
      </c>
      <c r="B46" s="75">
        <v>33</v>
      </c>
      <c r="C46" s="160">
        <v>90</v>
      </c>
      <c r="D46" s="1092"/>
      <c r="E46" s="144"/>
      <c r="F46" s="142"/>
      <c r="G46" s="143"/>
      <c r="H46" s="1048">
        <f t="shared" si="12"/>
        <v>0</v>
      </c>
      <c r="I46" s="986"/>
      <c r="J46" s="230">
        <f t="shared" si="14"/>
        <v>0</v>
      </c>
      <c r="K46" s="271" t="e">
        <f t="shared" si="4"/>
        <v>#DIV/0!</v>
      </c>
      <c r="L46" s="607">
        <v>2</v>
      </c>
      <c r="M46" s="604">
        <v>4</v>
      </c>
      <c r="N46" s="603">
        <v>3</v>
      </c>
      <c r="O46" s="935">
        <v>1</v>
      </c>
      <c r="P46" s="1077">
        <f t="shared" si="11"/>
        <v>10</v>
      </c>
      <c r="Q46" s="145"/>
      <c r="R46" s="242">
        <f t="shared" si="13"/>
        <v>8.8888888888888893</v>
      </c>
      <c r="S46" s="293" t="e">
        <f t="shared" si="8"/>
        <v>#DIV/0!</v>
      </c>
      <c r="T46" s="1003">
        <f t="shared" si="15"/>
        <v>0</v>
      </c>
      <c r="U46" s="1006">
        <f t="shared" si="16"/>
        <v>90</v>
      </c>
      <c r="V46" s="1005"/>
      <c r="W46" s="1005"/>
      <c r="X46" s="1005"/>
      <c r="Y46" s="1005"/>
      <c r="Z46" s="1005"/>
    </row>
    <row r="47" spans="1:26" ht="18.95" customHeight="1">
      <c r="A47" s="191" t="s">
        <v>76</v>
      </c>
      <c r="B47" s="75"/>
      <c r="C47" s="160"/>
      <c r="D47" s="1092"/>
      <c r="E47" s="144"/>
      <c r="F47" s="142"/>
      <c r="G47" s="143"/>
      <c r="H47" s="1048">
        <f t="shared" si="12"/>
        <v>0</v>
      </c>
      <c r="I47" s="986"/>
      <c r="J47" s="230"/>
      <c r="K47" s="271"/>
      <c r="L47" s="607"/>
      <c r="M47" s="604"/>
      <c r="N47" s="603"/>
      <c r="O47" s="935"/>
      <c r="P47" s="1077">
        <f t="shared" si="11"/>
        <v>0</v>
      </c>
      <c r="Q47" s="145"/>
      <c r="R47" s="242"/>
      <c r="S47" s="293"/>
      <c r="T47" s="1003"/>
      <c r="U47" s="1006"/>
      <c r="V47" s="1005"/>
      <c r="W47" s="1005"/>
      <c r="X47" s="1005"/>
      <c r="Y47" s="1005"/>
      <c r="Z47" s="1005"/>
    </row>
    <row r="48" spans="1:26" ht="18.95" customHeight="1">
      <c r="A48" s="191" t="s">
        <v>77</v>
      </c>
      <c r="B48" s="75">
        <v>29</v>
      </c>
      <c r="C48" s="160">
        <v>90</v>
      </c>
      <c r="D48" s="1092"/>
      <c r="E48" s="144">
        <v>6</v>
      </c>
      <c r="F48" s="142">
        <v>34</v>
      </c>
      <c r="G48" s="143"/>
      <c r="H48" s="1048">
        <f t="shared" si="12"/>
        <v>40</v>
      </c>
      <c r="I48" s="986"/>
      <c r="J48" s="230">
        <f t="shared" si="14"/>
        <v>44.444444444444443</v>
      </c>
      <c r="K48" s="271" t="e">
        <f t="shared" si="4"/>
        <v>#DIV/0!</v>
      </c>
      <c r="L48" s="607">
        <v>2</v>
      </c>
      <c r="M48" s="604">
        <v>5</v>
      </c>
      <c r="N48" s="603">
        <v>2</v>
      </c>
      <c r="O48" s="935"/>
      <c r="P48" s="1077">
        <f t="shared" si="11"/>
        <v>9</v>
      </c>
      <c r="Q48" s="145"/>
      <c r="R48" s="242">
        <f t="shared" ref="R48:R54" si="17">(P48-L48)/C48*100</f>
        <v>7.7777777777777777</v>
      </c>
      <c r="S48" s="293" t="e">
        <f>(P48-L48)/D48*100</f>
        <v>#DIV/0!</v>
      </c>
      <c r="T48" s="1003">
        <f t="shared" si="15"/>
        <v>40</v>
      </c>
      <c r="U48" s="1006">
        <f t="shared" si="16"/>
        <v>50</v>
      </c>
      <c r="V48" s="1005"/>
      <c r="W48" s="1005"/>
      <c r="X48" s="1005"/>
      <c r="Y48" s="1005"/>
      <c r="Z48" s="1005"/>
    </row>
    <row r="49" spans="1:26" ht="18.95" customHeight="1">
      <c r="A49" s="190" t="s">
        <v>78</v>
      </c>
      <c r="B49" s="75">
        <v>22</v>
      </c>
      <c r="C49" s="160">
        <v>91</v>
      </c>
      <c r="D49" s="1092"/>
      <c r="E49" s="144">
        <v>9</v>
      </c>
      <c r="F49" s="142">
        <v>30</v>
      </c>
      <c r="G49" s="143"/>
      <c r="H49" s="1048">
        <f t="shared" si="12"/>
        <v>39</v>
      </c>
      <c r="I49" s="986"/>
      <c r="J49" s="230">
        <f t="shared" si="14"/>
        <v>42.857142857142854</v>
      </c>
      <c r="K49" s="271" t="e">
        <f t="shared" si="4"/>
        <v>#DIV/0!</v>
      </c>
      <c r="L49" s="607"/>
      <c r="M49" s="604">
        <v>1</v>
      </c>
      <c r="N49" s="603">
        <v>2</v>
      </c>
      <c r="O49" s="935"/>
      <c r="P49" s="1077">
        <f t="shared" si="11"/>
        <v>3</v>
      </c>
      <c r="Q49" s="145"/>
      <c r="R49" s="242">
        <f t="shared" si="17"/>
        <v>3.296703296703297</v>
      </c>
      <c r="S49" s="293" t="e">
        <f t="shared" si="8"/>
        <v>#DIV/0!</v>
      </c>
      <c r="T49" s="1003">
        <f t="shared" si="15"/>
        <v>39</v>
      </c>
      <c r="U49" s="1006">
        <f t="shared" si="16"/>
        <v>52</v>
      </c>
      <c r="V49" s="1005"/>
      <c r="W49" s="1005"/>
      <c r="X49" s="1005"/>
      <c r="Y49" s="1005"/>
      <c r="Z49" s="1005"/>
    </row>
    <row r="50" spans="1:26" ht="18.95" customHeight="1">
      <c r="A50" s="189" t="s">
        <v>79</v>
      </c>
      <c r="B50" s="75">
        <v>204</v>
      </c>
      <c r="C50" s="160">
        <v>124</v>
      </c>
      <c r="D50" s="1092"/>
      <c r="E50" s="144">
        <v>33</v>
      </c>
      <c r="F50" s="142">
        <v>29</v>
      </c>
      <c r="G50" s="143"/>
      <c r="H50" s="1048">
        <f t="shared" si="12"/>
        <v>62</v>
      </c>
      <c r="I50" s="986"/>
      <c r="J50" s="230">
        <f t="shared" si="14"/>
        <v>50</v>
      </c>
      <c r="K50" s="271" t="e">
        <f t="shared" si="4"/>
        <v>#DIV/0!</v>
      </c>
      <c r="L50" s="607">
        <v>83</v>
      </c>
      <c r="M50" s="604">
        <v>11</v>
      </c>
      <c r="N50" s="603">
        <v>2</v>
      </c>
      <c r="O50" s="935">
        <v>1</v>
      </c>
      <c r="P50" s="1077">
        <f t="shared" si="11"/>
        <v>97</v>
      </c>
      <c r="Q50" s="145"/>
      <c r="R50" s="242">
        <f t="shared" si="17"/>
        <v>11.29032258064516</v>
      </c>
      <c r="S50" s="293" t="e">
        <f t="shared" si="8"/>
        <v>#DIV/0!</v>
      </c>
      <c r="T50" s="1003">
        <f t="shared" si="15"/>
        <v>62</v>
      </c>
      <c r="U50" s="1006">
        <f t="shared" si="16"/>
        <v>62</v>
      </c>
      <c r="V50" s="1005"/>
      <c r="W50" s="1005"/>
      <c r="X50" s="1005"/>
      <c r="Y50" s="1005"/>
      <c r="Z50" s="1005"/>
    </row>
    <row r="51" spans="1:26" ht="18.95" customHeight="1">
      <c r="A51" s="190" t="s">
        <v>80</v>
      </c>
      <c r="B51" s="75">
        <v>15</v>
      </c>
      <c r="C51" s="160">
        <v>91</v>
      </c>
      <c r="D51" s="1092"/>
      <c r="E51" s="144">
        <v>42</v>
      </c>
      <c r="F51" s="142">
        <v>33</v>
      </c>
      <c r="G51" s="143"/>
      <c r="H51" s="1048">
        <f t="shared" si="12"/>
        <v>75</v>
      </c>
      <c r="I51" s="986"/>
      <c r="J51" s="230">
        <f t="shared" si="14"/>
        <v>82.417582417582409</v>
      </c>
      <c r="K51" s="271" t="e">
        <f t="shared" si="4"/>
        <v>#DIV/0!</v>
      </c>
      <c r="L51" s="607"/>
      <c r="M51" s="604">
        <v>1</v>
      </c>
      <c r="N51" s="603">
        <v>1</v>
      </c>
      <c r="O51" s="935"/>
      <c r="P51" s="1077">
        <f t="shared" si="11"/>
        <v>2</v>
      </c>
      <c r="Q51" s="145"/>
      <c r="R51" s="242">
        <f t="shared" si="17"/>
        <v>2.197802197802198</v>
      </c>
      <c r="S51" s="293" t="e">
        <f t="shared" si="8"/>
        <v>#DIV/0!</v>
      </c>
      <c r="T51" s="1003">
        <f t="shared" si="15"/>
        <v>75</v>
      </c>
      <c r="U51" s="1006">
        <f t="shared" si="16"/>
        <v>16</v>
      </c>
      <c r="V51" s="1005"/>
      <c r="W51" s="1005"/>
      <c r="X51" s="1005"/>
      <c r="Y51" s="1005"/>
      <c r="Z51" s="1005"/>
    </row>
    <row r="52" spans="1:26" ht="18.95" customHeight="1">
      <c r="A52" s="190" t="s">
        <v>81</v>
      </c>
      <c r="B52" s="75"/>
      <c r="C52" s="160"/>
      <c r="D52" s="1092"/>
      <c r="E52" s="144">
        <v>8</v>
      </c>
      <c r="F52" s="142">
        <v>24</v>
      </c>
      <c r="G52" s="143"/>
      <c r="H52" s="1048">
        <f t="shared" si="12"/>
        <v>32</v>
      </c>
      <c r="I52" s="986"/>
      <c r="J52" s="230"/>
      <c r="K52" s="271" t="e">
        <f t="shared" si="4"/>
        <v>#DIV/0!</v>
      </c>
      <c r="L52" s="607"/>
      <c r="M52" s="604"/>
      <c r="N52" s="603"/>
      <c r="O52" s="935"/>
      <c r="P52" s="1077">
        <f t="shared" si="11"/>
        <v>0</v>
      </c>
      <c r="Q52" s="145"/>
      <c r="R52" s="242" t="e">
        <f t="shared" si="17"/>
        <v>#DIV/0!</v>
      </c>
      <c r="S52" s="293" t="e">
        <f t="shared" si="8"/>
        <v>#DIV/0!</v>
      </c>
      <c r="T52" s="1003">
        <f t="shared" si="15"/>
        <v>32</v>
      </c>
      <c r="U52" s="1006">
        <f t="shared" si="16"/>
        <v>-32</v>
      </c>
      <c r="V52" s="1005"/>
      <c r="W52" s="1005"/>
      <c r="X52" s="1005"/>
      <c r="Y52" s="1005"/>
      <c r="Z52" s="1005"/>
    </row>
    <row r="53" spans="1:26" ht="18.95" customHeight="1">
      <c r="A53" s="190" t="s">
        <v>82</v>
      </c>
      <c r="B53" s="75">
        <v>18</v>
      </c>
      <c r="C53" s="160">
        <v>15</v>
      </c>
      <c r="D53" s="1092"/>
      <c r="E53" s="144">
        <v>3</v>
      </c>
      <c r="F53" s="142"/>
      <c r="G53" s="143"/>
      <c r="H53" s="1048">
        <f t="shared" si="12"/>
        <v>3</v>
      </c>
      <c r="I53" s="986"/>
      <c r="J53" s="230">
        <f t="shared" si="14"/>
        <v>20</v>
      </c>
      <c r="K53" s="271" t="e">
        <f t="shared" si="4"/>
        <v>#DIV/0!</v>
      </c>
      <c r="L53" s="607"/>
      <c r="M53" s="604">
        <v>1</v>
      </c>
      <c r="N53" s="603"/>
      <c r="O53" s="935"/>
      <c r="P53" s="1077">
        <f t="shared" si="11"/>
        <v>1</v>
      </c>
      <c r="Q53" s="145"/>
      <c r="R53" s="242">
        <f t="shared" si="17"/>
        <v>6.666666666666667</v>
      </c>
      <c r="S53" s="293" t="e">
        <f t="shared" si="8"/>
        <v>#DIV/0!</v>
      </c>
      <c r="T53" s="1003">
        <f t="shared" si="15"/>
        <v>3</v>
      </c>
      <c r="U53" s="1006">
        <f t="shared" si="16"/>
        <v>12</v>
      </c>
      <c r="V53" s="1005"/>
      <c r="W53" s="1005"/>
      <c r="X53" s="1005"/>
      <c r="Y53" s="1005"/>
      <c r="Z53" s="1005"/>
    </row>
    <row r="54" spans="1:26" ht="18.95" customHeight="1">
      <c r="A54" s="191" t="s">
        <v>83</v>
      </c>
      <c r="B54" s="75">
        <v>1</v>
      </c>
      <c r="C54" s="160">
        <v>1</v>
      </c>
      <c r="D54" s="1092"/>
      <c r="E54" s="144"/>
      <c r="F54" s="142"/>
      <c r="G54" s="143"/>
      <c r="H54" s="1057"/>
      <c r="I54" s="986"/>
      <c r="J54" s="230">
        <f t="shared" si="14"/>
        <v>0</v>
      </c>
      <c r="K54" s="271" t="e">
        <f t="shared" si="4"/>
        <v>#DIV/0!</v>
      </c>
      <c r="L54" s="607"/>
      <c r="M54" s="604"/>
      <c r="N54" s="603"/>
      <c r="O54" s="935"/>
      <c r="P54" s="1077">
        <f t="shared" si="11"/>
        <v>0</v>
      </c>
      <c r="Q54" s="145"/>
      <c r="R54" s="242">
        <f t="shared" si="17"/>
        <v>0</v>
      </c>
      <c r="S54" s="293" t="e">
        <f t="shared" si="8"/>
        <v>#DIV/0!</v>
      </c>
      <c r="T54" s="1003"/>
      <c r="U54" s="1006"/>
      <c r="V54" s="1005"/>
      <c r="W54" s="1005"/>
      <c r="X54" s="1005"/>
      <c r="Y54" s="1005"/>
      <c r="Z54" s="1005"/>
    </row>
    <row r="55" spans="1:26" ht="18.95" customHeight="1">
      <c r="A55" s="192" t="s">
        <v>84</v>
      </c>
      <c r="B55" s="75"/>
      <c r="C55" s="160"/>
      <c r="D55" s="1092"/>
      <c r="E55" s="144">
        <v>7</v>
      </c>
      <c r="F55" s="142">
        <v>72</v>
      </c>
      <c r="G55" s="143"/>
      <c r="H55" s="1048">
        <f t="shared" si="12"/>
        <v>79</v>
      </c>
      <c r="I55" s="986"/>
      <c r="J55" s="230"/>
      <c r="K55" s="271"/>
      <c r="L55" s="607">
        <v>6</v>
      </c>
      <c r="M55" s="604">
        <v>3</v>
      </c>
      <c r="N55" s="603">
        <v>3</v>
      </c>
      <c r="O55" s="935">
        <v>1</v>
      </c>
      <c r="P55" s="1077">
        <f t="shared" si="11"/>
        <v>13</v>
      </c>
      <c r="Q55" s="145"/>
      <c r="R55" s="242"/>
      <c r="S55" s="293"/>
      <c r="T55" s="1003">
        <f t="shared" si="15"/>
        <v>79</v>
      </c>
      <c r="U55" s="1006">
        <f t="shared" si="16"/>
        <v>-79</v>
      </c>
      <c r="V55" s="1005"/>
      <c r="W55" s="1005"/>
      <c r="X55" s="1005"/>
      <c r="Y55" s="1005"/>
      <c r="Z55" s="1005"/>
    </row>
    <row r="56" spans="1:26" ht="18.95" customHeight="1">
      <c r="A56" s="192" t="s">
        <v>85</v>
      </c>
      <c r="B56" s="75"/>
      <c r="C56" s="160"/>
      <c r="D56" s="1092"/>
      <c r="E56" s="35"/>
      <c r="F56" s="42"/>
      <c r="G56" s="41"/>
      <c r="H56" s="1053"/>
      <c r="I56" s="986"/>
      <c r="J56" s="230"/>
      <c r="K56" s="271"/>
      <c r="L56" s="462"/>
      <c r="M56" s="459"/>
      <c r="N56" s="458"/>
      <c r="O56" s="921"/>
      <c r="P56" s="1069">
        <f t="shared" si="11"/>
        <v>0</v>
      </c>
      <c r="Q56" s="145"/>
      <c r="R56" s="242"/>
      <c r="S56" s="293"/>
      <c r="T56" s="1003">
        <f t="shared" si="15"/>
        <v>0</v>
      </c>
      <c r="U56" s="1006">
        <f t="shared" si="16"/>
        <v>0</v>
      </c>
      <c r="V56" s="1005"/>
      <c r="W56" s="1005"/>
      <c r="X56" s="1005"/>
      <c r="Y56" s="1005"/>
      <c r="Z56" s="1005"/>
    </row>
    <row r="57" spans="1:26" ht="18.95" customHeight="1">
      <c r="A57" s="192" t="s">
        <v>86</v>
      </c>
      <c r="B57" s="75"/>
      <c r="C57" s="160"/>
      <c r="D57" s="1092"/>
      <c r="E57" s="35"/>
      <c r="F57" s="42"/>
      <c r="G57" s="41"/>
      <c r="H57" s="1053"/>
      <c r="I57" s="986"/>
      <c r="J57" s="230"/>
      <c r="K57" s="271"/>
      <c r="L57" s="462"/>
      <c r="M57" s="459"/>
      <c r="N57" s="458"/>
      <c r="O57" s="921"/>
      <c r="P57" s="1069">
        <f t="shared" si="11"/>
        <v>0</v>
      </c>
      <c r="Q57" s="145"/>
      <c r="R57" s="242"/>
      <c r="S57" s="293"/>
      <c r="T57" s="1003">
        <f t="shared" si="15"/>
        <v>0</v>
      </c>
      <c r="U57" s="1006">
        <f t="shared" si="16"/>
        <v>0</v>
      </c>
      <c r="V57" s="1005"/>
      <c r="W57" s="1005"/>
      <c r="X57" s="1005"/>
      <c r="Y57" s="1005"/>
      <c r="Z57" s="1005"/>
    </row>
    <row r="58" spans="1:26" ht="18.95" customHeight="1">
      <c r="A58" s="192" t="s">
        <v>87</v>
      </c>
      <c r="B58" s="75"/>
      <c r="C58" s="160"/>
      <c r="D58" s="1092"/>
      <c r="E58" s="35"/>
      <c r="F58" s="42"/>
      <c r="G58" s="41"/>
      <c r="H58" s="1053"/>
      <c r="I58" s="986"/>
      <c r="J58" s="230"/>
      <c r="K58" s="271"/>
      <c r="L58" s="462"/>
      <c r="M58" s="459"/>
      <c r="N58" s="458"/>
      <c r="O58" s="921"/>
      <c r="P58" s="1069">
        <f t="shared" si="11"/>
        <v>0</v>
      </c>
      <c r="Q58" s="145"/>
      <c r="R58" s="242"/>
      <c r="S58" s="293"/>
      <c r="T58" s="1003">
        <f t="shared" si="15"/>
        <v>0</v>
      </c>
      <c r="U58" s="1006">
        <f t="shared" si="16"/>
        <v>0</v>
      </c>
      <c r="V58" s="1005"/>
      <c r="W58" s="1005"/>
      <c r="X58" s="1005"/>
      <c r="Y58" s="1005"/>
      <c r="Z58" s="1005"/>
    </row>
    <row r="59" spans="1:26" ht="18.95" customHeight="1">
      <c r="A59" s="192" t="s">
        <v>88</v>
      </c>
      <c r="B59" s="75"/>
      <c r="C59" s="160"/>
      <c r="D59" s="1092"/>
      <c r="E59" s="35"/>
      <c r="F59" s="42"/>
      <c r="G59" s="41"/>
      <c r="H59" s="1058"/>
      <c r="I59" s="1036"/>
      <c r="J59" s="230"/>
      <c r="K59" s="263"/>
      <c r="L59" s="462"/>
      <c r="M59" s="459"/>
      <c r="N59" s="458"/>
      <c r="O59" s="921"/>
      <c r="P59" s="1069">
        <f t="shared" si="11"/>
        <v>0</v>
      </c>
      <c r="Q59" s="84"/>
      <c r="R59" s="235"/>
      <c r="S59" s="284"/>
      <c r="T59" s="1003">
        <f t="shared" si="15"/>
        <v>0</v>
      </c>
      <c r="U59" s="1006">
        <f t="shared" si="16"/>
        <v>0</v>
      </c>
      <c r="V59" s="1005"/>
      <c r="W59" s="1005"/>
      <c r="X59" s="1005"/>
      <c r="Y59" s="1005"/>
      <c r="Z59" s="1005"/>
    </row>
    <row r="60" spans="1:26" ht="18.95" customHeight="1">
      <c r="A60" s="755" t="s">
        <v>118</v>
      </c>
      <c r="B60" s="121">
        <v>29</v>
      </c>
      <c r="C60" s="161">
        <v>91</v>
      </c>
      <c r="D60" s="1095"/>
      <c r="E60" s="37"/>
      <c r="F60" s="57">
        <v>44</v>
      </c>
      <c r="G60" s="56"/>
      <c r="H60" s="1048">
        <f t="shared" ref="H60" si="18">SUM(E60:G60)</f>
        <v>44</v>
      </c>
      <c r="I60" s="1041"/>
      <c r="J60" s="230">
        <f t="shared" si="14"/>
        <v>48.35164835164835</v>
      </c>
      <c r="K60" s="267"/>
      <c r="L60" s="558">
        <v>1</v>
      </c>
      <c r="M60" s="555">
        <v>4</v>
      </c>
      <c r="N60" s="554">
        <v>2</v>
      </c>
      <c r="O60" s="925"/>
      <c r="P60" s="1073">
        <f t="shared" si="11"/>
        <v>7</v>
      </c>
      <c r="Q60" s="80"/>
      <c r="R60" s="238"/>
      <c r="S60" s="289"/>
      <c r="T60" s="1003"/>
      <c r="U60" s="1006"/>
      <c r="V60" s="1005"/>
      <c r="W60" s="1005"/>
      <c r="X60" s="1005"/>
      <c r="Y60" s="1005"/>
      <c r="Z60" s="1005"/>
    </row>
    <row r="61" spans="1:26" ht="18.95" customHeight="1" thickBot="1">
      <c r="A61" s="170" t="s">
        <v>12</v>
      </c>
      <c r="B61" s="71">
        <f>SUM(B30:B60)</f>
        <v>2717</v>
      </c>
      <c r="C61" s="209">
        <f>SUM(C30:C60)</f>
        <v>2370</v>
      </c>
      <c r="D61" s="1088">
        <f t="shared" ref="D61:H61" si="19">SUM(D30:D59)</f>
        <v>0</v>
      </c>
      <c r="E61" s="71">
        <f t="shared" si="19"/>
        <v>524</v>
      </c>
      <c r="F61" s="137">
        <f t="shared" si="19"/>
        <v>710</v>
      </c>
      <c r="G61" s="156">
        <f t="shared" si="19"/>
        <v>0</v>
      </c>
      <c r="H61" s="1050">
        <f t="shared" si="19"/>
        <v>1234</v>
      </c>
      <c r="I61" s="77">
        <f>E61+F61/B61*100</f>
        <v>550.13176297386826</v>
      </c>
      <c r="J61" s="137">
        <f>E61+F61/C61*100</f>
        <v>553.957805907173</v>
      </c>
      <c r="K61" s="265" t="e">
        <f t="shared" si="4"/>
        <v>#DIV/0!</v>
      </c>
      <c r="L61" s="914">
        <f>SUM(L30:L60)</f>
        <v>363</v>
      </c>
      <c r="M61" s="915">
        <f>SUM(M30:M60)</f>
        <v>186</v>
      </c>
      <c r="N61" s="916">
        <f>SUM(N30:N60)</f>
        <v>68</v>
      </c>
      <c r="O61" s="916">
        <f>SUM(O30:O60)</f>
        <v>20</v>
      </c>
      <c r="P61" s="1066">
        <f>SUM(P30:P60)</f>
        <v>637</v>
      </c>
      <c r="Q61" s="78">
        <f>P61/B61*100</f>
        <v>23.444976076555022</v>
      </c>
      <c r="R61" s="232">
        <f>(P61-L61)/C61*100</f>
        <v>11.561181434599156</v>
      </c>
      <c r="S61" s="286" t="e">
        <f>(P61)/D61*100</f>
        <v>#DIV/0!</v>
      </c>
      <c r="T61" s="1003"/>
      <c r="U61" s="1006"/>
      <c r="V61" s="1005"/>
      <c r="W61" s="1005"/>
      <c r="X61" s="1005"/>
      <c r="Y61" s="1005"/>
      <c r="Z61" s="1005"/>
    </row>
    <row r="62" spans="1:26" ht="18.95" customHeight="1">
      <c r="A62" s="1" t="s">
        <v>13</v>
      </c>
      <c r="B62" s="74"/>
      <c r="C62" s="159"/>
      <c r="D62" s="1093"/>
      <c r="E62" s="38"/>
      <c r="F62" s="54"/>
      <c r="G62" s="53"/>
      <c r="H62" s="1055"/>
      <c r="I62" s="38"/>
      <c r="J62" s="54"/>
      <c r="K62" s="266"/>
      <c r="L62" s="527"/>
      <c r="M62" s="525"/>
      <c r="N62" s="524"/>
      <c r="O62" s="923"/>
      <c r="P62" s="1071">
        <f t="shared" ref="P62:P70" si="20">SUM(L62:O62)</f>
        <v>0</v>
      </c>
      <c r="Q62" s="82"/>
      <c r="R62" s="237"/>
      <c r="S62" s="287"/>
      <c r="T62" s="304" t="s">
        <v>35</v>
      </c>
      <c r="U62" s="304" t="s">
        <v>36</v>
      </c>
      <c r="V62" s="1005"/>
      <c r="W62" s="1005"/>
      <c r="X62" s="1005"/>
      <c r="Y62" s="1005"/>
      <c r="Z62" s="1005"/>
    </row>
    <row r="63" spans="1:26" ht="18.95" customHeight="1">
      <c r="A63" s="2" t="s">
        <v>146</v>
      </c>
      <c r="B63" s="1020">
        <v>80</v>
      </c>
      <c r="C63" s="1021">
        <v>79</v>
      </c>
      <c r="D63" s="1095">
        <v>79</v>
      </c>
      <c r="E63" s="37"/>
      <c r="F63" s="57">
        <v>71</v>
      </c>
      <c r="G63" s="56"/>
      <c r="H63" s="1047">
        <f t="shared" ref="H63" si="21">SUM(E63:G63)</f>
        <v>71</v>
      </c>
      <c r="I63" s="1034">
        <f>E63+F63/B63*100</f>
        <v>88.75</v>
      </c>
      <c r="J63" s="230">
        <f>E63+F63/C63*100</f>
        <v>89.87341772151899</v>
      </c>
      <c r="K63" s="267">
        <f t="shared" si="4"/>
        <v>89.87341772151899</v>
      </c>
      <c r="L63" s="1022"/>
      <c r="M63" s="1023"/>
      <c r="N63" s="1024"/>
      <c r="O63" s="1025"/>
      <c r="P63" s="1078">
        <f t="shared" si="20"/>
        <v>0</v>
      </c>
      <c r="Q63" s="1026"/>
      <c r="R63" s="1027"/>
      <c r="S63" s="1028">
        <f t="shared" si="8"/>
        <v>0</v>
      </c>
      <c r="T63" s="1003">
        <f t="shared" ref="T63:T71" si="22">SUM(E63:F63)</f>
        <v>71</v>
      </c>
      <c r="U63" s="1006">
        <f t="shared" ref="U63:U69" si="23">+C63-T63</f>
        <v>8</v>
      </c>
      <c r="V63" s="1005"/>
      <c r="W63" s="1005"/>
      <c r="X63" s="1005"/>
      <c r="Y63" s="1005"/>
      <c r="Z63" s="1005"/>
    </row>
    <row r="64" spans="1:26" ht="18.95" customHeight="1" thickBot="1">
      <c r="A64" s="5" t="s">
        <v>14</v>
      </c>
      <c r="B64" s="71">
        <f t="shared" ref="B64:H64" si="24">SUM(B63)</f>
        <v>80</v>
      </c>
      <c r="C64" s="209">
        <f t="shared" si="24"/>
        <v>79</v>
      </c>
      <c r="D64" s="1088">
        <f t="shared" si="24"/>
        <v>79</v>
      </c>
      <c r="E64" s="71">
        <f t="shared" si="24"/>
        <v>0</v>
      </c>
      <c r="F64" s="137">
        <f t="shared" si="24"/>
        <v>71</v>
      </c>
      <c r="G64" s="156">
        <f t="shared" si="24"/>
        <v>0</v>
      </c>
      <c r="H64" s="1050">
        <f t="shared" si="24"/>
        <v>71</v>
      </c>
      <c r="I64" s="155">
        <f>+H64/B64*100</f>
        <v>88.75</v>
      </c>
      <c r="J64" s="155">
        <f>+I64/C64*100</f>
        <v>112.34177215189874</v>
      </c>
      <c r="K64" s="265">
        <f t="shared" si="4"/>
        <v>89.87341772151899</v>
      </c>
      <c r="L64" s="914">
        <f>SUM(L63)</f>
        <v>0</v>
      </c>
      <c r="M64" s="915">
        <f>SUM(M63)</f>
        <v>0</v>
      </c>
      <c r="N64" s="916">
        <f>SUM(N63)</f>
        <v>0</v>
      </c>
      <c r="O64" s="916">
        <f>SUM(O63)</f>
        <v>0</v>
      </c>
      <c r="P64" s="1066">
        <f t="shared" si="20"/>
        <v>0</v>
      </c>
      <c r="Q64" s="78"/>
      <c r="R64" s="232"/>
      <c r="S64" s="294">
        <v>0</v>
      </c>
      <c r="T64" s="1003">
        <f t="shared" si="22"/>
        <v>71</v>
      </c>
      <c r="U64" s="1006">
        <f t="shared" si="23"/>
        <v>8</v>
      </c>
      <c r="V64" s="1005"/>
      <c r="W64" s="1005"/>
      <c r="X64" s="1005"/>
      <c r="Y64" s="1005"/>
      <c r="Z64" s="1005"/>
    </row>
    <row r="65" spans="1:29" ht="18.95" customHeight="1">
      <c r="A65" s="198" t="s">
        <v>55</v>
      </c>
      <c r="B65" s="121"/>
      <c r="C65" s="161"/>
      <c r="D65" s="1095"/>
      <c r="E65" s="37"/>
      <c r="F65" s="57"/>
      <c r="G65" s="56"/>
      <c r="H65" s="1058"/>
      <c r="I65" s="197"/>
      <c r="J65" s="252"/>
      <c r="K65" s="267"/>
      <c r="L65" s="558"/>
      <c r="M65" s="555"/>
      <c r="N65" s="554"/>
      <c r="O65" s="925"/>
      <c r="P65" s="1073">
        <f t="shared" si="20"/>
        <v>0</v>
      </c>
      <c r="Q65" s="80"/>
      <c r="R65" s="238"/>
      <c r="S65" s="289"/>
      <c r="T65" s="1003"/>
      <c r="U65" s="1006"/>
      <c r="V65" s="1005"/>
      <c r="W65" s="1005"/>
      <c r="X65" s="1005"/>
      <c r="Y65" s="1005"/>
      <c r="Z65" s="1005"/>
    </row>
    <row r="66" spans="1:29" ht="18.95" customHeight="1">
      <c r="A66" s="3" t="s">
        <v>56</v>
      </c>
      <c r="B66" s="75">
        <v>200</v>
      </c>
      <c r="C66" s="160"/>
      <c r="D66" s="1092"/>
      <c r="E66" s="35"/>
      <c r="F66" s="42"/>
      <c r="G66" s="41"/>
      <c r="H66" s="1054"/>
      <c r="I66" s="1042">
        <f>E66+F66/B66*100</f>
        <v>0</v>
      </c>
      <c r="J66" s="252"/>
      <c r="K66" s="263"/>
      <c r="L66" s="462">
        <v>21</v>
      </c>
      <c r="M66" s="459"/>
      <c r="N66" s="458"/>
      <c r="O66" s="921"/>
      <c r="P66" s="1069">
        <f t="shared" si="20"/>
        <v>21</v>
      </c>
      <c r="Q66" s="84">
        <f>P66/B66*100</f>
        <v>10.5</v>
      </c>
      <c r="R66" s="235"/>
      <c r="S66" s="295">
        <f>(P66)/B66*100</f>
        <v>10.5</v>
      </c>
      <c r="T66" s="1003">
        <f t="shared" si="22"/>
        <v>0</v>
      </c>
      <c r="U66" s="1006">
        <f t="shared" si="23"/>
        <v>0</v>
      </c>
      <c r="V66" s="1005"/>
      <c r="W66" s="1005"/>
      <c r="X66" s="1005"/>
      <c r="Y66" s="1005"/>
      <c r="Z66" s="1005"/>
    </row>
    <row r="67" spans="1:29" ht="18.95" customHeight="1">
      <c r="A67" s="3" t="s">
        <v>57</v>
      </c>
      <c r="B67" s="75">
        <v>6</v>
      </c>
      <c r="C67" s="160">
        <v>120</v>
      </c>
      <c r="D67" s="1092">
        <v>120</v>
      </c>
      <c r="E67" s="36"/>
      <c r="F67" s="40">
        <v>115</v>
      </c>
      <c r="G67" s="39"/>
      <c r="H67" s="1048">
        <f t="shared" ref="H67:H68" si="25">SUM(E67:G67)</f>
        <v>115</v>
      </c>
      <c r="I67" s="986">
        <f>E67+F67/B67</f>
        <v>19.166666666666668</v>
      </c>
      <c r="J67" s="230">
        <f>E67+F67/C67*100</f>
        <v>95.833333333333343</v>
      </c>
      <c r="K67" s="272">
        <f t="shared" si="4"/>
        <v>95.833333333333343</v>
      </c>
      <c r="L67" s="689">
        <v>2</v>
      </c>
      <c r="M67" s="685"/>
      <c r="N67" s="684">
        <v>1</v>
      </c>
      <c r="O67" s="936"/>
      <c r="P67" s="1079">
        <f t="shared" si="20"/>
        <v>3</v>
      </c>
      <c r="Q67" s="85"/>
      <c r="R67" s="243">
        <f>(P67-L67)/C67</f>
        <v>8.3333333333333332E-3</v>
      </c>
      <c r="S67" s="296" t="s">
        <v>99</v>
      </c>
      <c r="T67" s="1003">
        <f t="shared" si="22"/>
        <v>115</v>
      </c>
      <c r="U67" s="1006">
        <f t="shared" si="23"/>
        <v>5</v>
      </c>
      <c r="V67" s="1005"/>
      <c r="W67" s="1005"/>
      <c r="X67" s="1005"/>
      <c r="Y67" s="1005"/>
      <c r="Z67" s="1005"/>
    </row>
    <row r="68" spans="1:29" ht="18.95" customHeight="1">
      <c r="A68" s="4" t="s">
        <v>58</v>
      </c>
      <c r="B68" s="75">
        <v>5</v>
      </c>
      <c r="C68" s="160">
        <v>70</v>
      </c>
      <c r="D68" s="1092">
        <v>70</v>
      </c>
      <c r="E68" s="35"/>
      <c r="F68" s="51">
        <v>47</v>
      </c>
      <c r="G68" s="50"/>
      <c r="H68" s="1101">
        <f t="shared" si="25"/>
        <v>47</v>
      </c>
      <c r="I68" s="1042"/>
      <c r="J68" s="252">
        <f>E68+F68/C68*100</f>
        <v>67.142857142857139</v>
      </c>
      <c r="K68" s="264">
        <f t="shared" si="4"/>
        <v>67.142857142857139</v>
      </c>
      <c r="L68" s="514">
        <v>2</v>
      </c>
      <c r="M68" s="509">
        <v>7</v>
      </c>
      <c r="N68" s="508"/>
      <c r="O68" s="922"/>
      <c r="P68" s="1070">
        <f t="shared" si="20"/>
        <v>9</v>
      </c>
      <c r="Q68" s="81"/>
      <c r="R68" s="236">
        <f>(P68-L68)/C68*100</f>
        <v>10</v>
      </c>
      <c r="S68" s="285">
        <f>(P68-L68)/D68*100</f>
        <v>10</v>
      </c>
      <c r="T68" s="1003">
        <f t="shared" si="22"/>
        <v>47</v>
      </c>
      <c r="U68" s="1006">
        <f t="shared" si="23"/>
        <v>23</v>
      </c>
      <c r="V68" s="1005"/>
      <c r="W68" s="1005"/>
      <c r="X68" s="1005"/>
      <c r="Y68" s="1005"/>
      <c r="Z68" s="1005"/>
    </row>
    <row r="69" spans="1:29" ht="18.95" customHeight="1" thickBot="1">
      <c r="A69" s="5" t="s">
        <v>59</v>
      </c>
      <c r="B69" s="71">
        <f>SUM(B66:B68)</f>
        <v>211</v>
      </c>
      <c r="C69" s="209">
        <f>SUM(C67:C68)</f>
        <v>190</v>
      </c>
      <c r="D69" s="1088">
        <f>SUM(D67:D68)</f>
        <v>190</v>
      </c>
      <c r="E69" s="71">
        <f>SUM(E67:E68)</f>
        <v>0</v>
      </c>
      <c r="F69" s="137">
        <f>SUM(F67:F68)</f>
        <v>162</v>
      </c>
      <c r="G69" s="156">
        <f>SUM(G67:G68)</f>
        <v>0</v>
      </c>
      <c r="H69" s="1050"/>
      <c r="I69" s="155">
        <f>E69+F69/B69*100</f>
        <v>76.777251184834128</v>
      </c>
      <c r="J69" s="248">
        <f>E69+F69/C69*100</f>
        <v>85.263157894736835</v>
      </c>
      <c r="K69" s="265">
        <f t="shared" si="4"/>
        <v>85.263157894736835</v>
      </c>
      <c r="L69" s="914">
        <f>SUM(L66:L68)</f>
        <v>25</v>
      </c>
      <c r="M69" s="915">
        <f>SUM(M66:M68)</f>
        <v>7</v>
      </c>
      <c r="N69" s="916">
        <f>SUM(N66:N68)</f>
        <v>1</v>
      </c>
      <c r="O69" s="916">
        <f>SUM(O66:O68)</f>
        <v>0</v>
      </c>
      <c r="P69" s="1066">
        <f t="shared" si="20"/>
        <v>33</v>
      </c>
      <c r="Q69" s="78">
        <f>P69/B69*100</f>
        <v>15.639810426540285</v>
      </c>
      <c r="R69" s="232">
        <f>(P69-L69)/C69*100</f>
        <v>4.2105263157894735</v>
      </c>
      <c r="S69" s="286">
        <f t="shared" si="8"/>
        <v>4.2105263157894735</v>
      </c>
      <c r="T69" s="1003">
        <f t="shared" si="22"/>
        <v>162</v>
      </c>
      <c r="U69" s="1006">
        <f t="shared" si="23"/>
        <v>28</v>
      </c>
      <c r="V69" s="1005"/>
      <c r="W69" s="1005"/>
      <c r="X69" s="1005"/>
      <c r="Y69" s="1005"/>
      <c r="Z69" s="1005"/>
    </row>
    <row r="70" spans="1:29" ht="18.95" customHeight="1">
      <c r="A70" s="1" t="s">
        <v>15</v>
      </c>
      <c r="B70" s="74"/>
      <c r="C70" s="159"/>
      <c r="D70" s="1093"/>
      <c r="E70" s="38"/>
      <c r="F70" s="54"/>
      <c r="G70" s="53"/>
      <c r="H70" s="1055"/>
      <c r="I70" s="1037"/>
      <c r="J70" s="54"/>
      <c r="K70" s="266"/>
      <c r="L70" s="527"/>
      <c r="M70" s="525"/>
      <c r="N70" s="524"/>
      <c r="O70" s="923"/>
      <c r="P70" s="1071">
        <f t="shared" si="20"/>
        <v>0</v>
      </c>
      <c r="Q70" s="82"/>
      <c r="R70" s="237"/>
      <c r="S70" s="287"/>
      <c r="T70" s="304" t="s">
        <v>35</v>
      </c>
      <c r="U70" s="1006"/>
      <c r="V70" s="1005"/>
      <c r="W70" s="1005"/>
      <c r="X70" s="1005"/>
      <c r="Y70" s="1005"/>
      <c r="Z70" s="1005"/>
    </row>
    <row r="71" spans="1:29" ht="18.95" customHeight="1">
      <c r="A71" s="10" t="s">
        <v>16</v>
      </c>
      <c r="B71" s="126">
        <v>78</v>
      </c>
      <c r="C71" s="163">
        <v>73</v>
      </c>
      <c r="D71" s="1096">
        <v>78</v>
      </c>
      <c r="E71" s="62"/>
      <c r="F71" s="61">
        <v>67</v>
      </c>
      <c r="G71" s="60"/>
      <c r="H71" s="1047">
        <f t="shared" ref="H71" si="26">SUM(E71:G71)</f>
        <v>67</v>
      </c>
      <c r="I71" s="1034">
        <f>E71+F71/B71*100</f>
        <v>85.897435897435898</v>
      </c>
      <c r="J71" s="230">
        <f>E71+F71/C71*100</f>
        <v>91.780821917808225</v>
      </c>
      <c r="K71" s="273">
        <f t="shared" si="4"/>
        <v>85.897435897435898</v>
      </c>
      <c r="L71" s="705">
        <v>5</v>
      </c>
      <c r="M71" s="702">
        <v>2</v>
      </c>
      <c r="N71" s="701"/>
      <c r="O71" s="937"/>
      <c r="P71" s="1080">
        <f>SUM(L71:O71)</f>
        <v>7</v>
      </c>
      <c r="Q71" s="86">
        <f>P71/B71*100</f>
        <v>8.9743589743589745</v>
      </c>
      <c r="R71" s="244">
        <f>(P71-L71)/C71*100</f>
        <v>2.7397260273972601</v>
      </c>
      <c r="S71" s="297">
        <f>(P71)/D71*100</f>
        <v>8.9743589743589745</v>
      </c>
      <c r="T71" s="1003">
        <f t="shared" si="22"/>
        <v>67</v>
      </c>
      <c r="U71" s="1006"/>
      <c r="V71" s="1005"/>
      <c r="W71" s="1005"/>
      <c r="X71" s="1005"/>
      <c r="Y71" s="1005"/>
      <c r="Z71" s="1005"/>
    </row>
    <row r="72" spans="1:29" s="1009" customFormat="1" ht="18.95" customHeight="1" thickBot="1">
      <c r="A72" s="5" t="s">
        <v>17</v>
      </c>
      <c r="B72" s="127">
        <f>SUM(B71)</f>
        <v>78</v>
      </c>
      <c r="C72" s="77">
        <f>SUM(C71)</f>
        <v>73</v>
      </c>
      <c r="D72" s="1088">
        <f>+D71</f>
        <v>78</v>
      </c>
      <c r="E72" s="127">
        <f>SUM(E68:E71)</f>
        <v>0</v>
      </c>
      <c r="F72" s="77">
        <f>+F71</f>
        <v>67</v>
      </c>
      <c r="G72" s="156"/>
      <c r="H72" s="1050"/>
      <c r="I72" s="210">
        <f>E72+F72/B72*100</f>
        <v>85.897435897435898</v>
      </c>
      <c r="J72" s="248">
        <f>E72+F72/C72*100</f>
        <v>91.780821917808225</v>
      </c>
      <c r="K72" s="265">
        <f t="shared" si="4"/>
        <v>85.897435897435898</v>
      </c>
      <c r="L72" s="914">
        <f>SUM(L71)</f>
        <v>5</v>
      </c>
      <c r="M72" s="916">
        <f>SUM(M71)</f>
        <v>2</v>
      </c>
      <c r="N72" s="916">
        <f>SUM(N71)</f>
        <v>0</v>
      </c>
      <c r="O72" s="916">
        <f>SUM(O71)</f>
        <v>0</v>
      </c>
      <c r="P72" s="1066">
        <f>SUM(P71)</f>
        <v>7</v>
      </c>
      <c r="Q72" s="78">
        <f>P72/B72*100</f>
        <v>8.9743589743589745</v>
      </c>
      <c r="R72" s="232">
        <f>(P72-L72)/C72*100</f>
        <v>2.7397260273972601</v>
      </c>
      <c r="S72" s="286">
        <f>(P72)/D72*100</f>
        <v>8.9743589743589745</v>
      </c>
      <c r="T72" s="1003"/>
      <c r="U72" s="1006"/>
      <c r="V72" s="1005"/>
      <c r="W72" s="1005"/>
      <c r="X72" s="1005"/>
      <c r="Y72" s="1005"/>
      <c r="Z72" s="1005"/>
      <c r="AA72" s="990"/>
      <c r="AB72" s="150"/>
      <c r="AC72" s="150"/>
    </row>
    <row r="73" spans="1:29" ht="18.95" hidden="1" customHeight="1">
      <c r="A73" s="1" t="s">
        <v>140</v>
      </c>
      <c r="B73" s="74"/>
      <c r="C73" s="159"/>
      <c r="D73" s="1093"/>
      <c r="E73" s="38"/>
      <c r="F73" s="54"/>
      <c r="G73" s="53"/>
      <c r="H73" s="1055"/>
      <c r="I73" s="1037"/>
      <c r="J73" s="54"/>
      <c r="K73" s="266"/>
      <c r="L73" s="527"/>
      <c r="M73" s="525"/>
      <c r="N73" s="524"/>
      <c r="O73" s="923"/>
      <c r="P73" s="1071">
        <f t="shared" ref="P73" si="27">SUM(L73:O73)</f>
        <v>0</v>
      </c>
      <c r="Q73" s="82"/>
      <c r="R73" s="237"/>
      <c r="S73" s="287"/>
      <c r="T73" s="304" t="s">
        <v>35</v>
      </c>
      <c r="U73" s="1006"/>
      <c r="V73" s="1005"/>
      <c r="W73" s="1005"/>
      <c r="X73" s="1005"/>
      <c r="Y73" s="1005"/>
      <c r="Z73" s="1005"/>
    </row>
    <row r="74" spans="1:29" ht="18.95" hidden="1" customHeight="1">
      <c r="A74" s="10" t="s">
        <v>143</v>
      </c>
      <c r="B74" s="126"/>
      <c r="C74" s="163"/>
      <c r="D74" s="1096"/>
      <c r="E74" s="62"/>
      <c r="F74" s="61"/>
      <c r="G74" s="60"/>
      <c r="H74" s="1052"/>
      <c r="I74" s="1034" t="e">
        <f>E74+F74/B74*100</f>
        <v>#DIV/0!</v>
      </c>
      <c r="J74" s="230" t="e">
        <f>E74+F74/C74*100</f>
        <v>#DIV/0!</v>
      </c>
      <c r="K74" s="273" t="e">
        <f t="shared" ref="K74:K75" si="28">(E74+F74)/D74*100</f>
        <v>#DIV/0!</v>
      </c>
      <c r="L74" s="705"/>
      <c r="M74" s="702"/>
      <c r="N74" s="701"/>
      <c r="O74" s="937"/>
      <c r="P74" s="1080">
        <f>SUM(L74:O74)</f>
        <v>0</v>
      </c>
      <c r="Q74" s="86" t="e">
        <f>P74/B74*100</f>
        <v>#DIV/0!</v>
      </c>
      <c r="R74" s="244" t="e">
        <f>(P74-L74)/C74*100</f>
        <v>#DIV/0!</v>
      </c>
      <c r="S74" s="297" t="e">
        <f>(P74)/D74*100</f>
        <v>#DIV/0!</v>
      </c>
      <c r="T74" s="1003">
        <f t="shared" ref="T74" si="29">SUM(E74:F74)</f>
        <v>0</v>
      </c>
      <c r="U74" s="1006"/>
      <c r="V74" s="1005"/>
      <c r="W74" s="1005"/>
      <c r="X74" s="1005"/>
      <c r="Y74" s="1005"/>
      <c r="Z74" s="1005"/>
    </row>
    <row r="75" spans="1:29" s="1009" customFormat="1" ht="18.95" hidden="1" customHeight="1" thickBot="1">
      <c r="A75" s="5" t="s">
        <v>144</v>
      </c>
      <c r="B75" s="127">
        <f>SUM(B74)</f>
        <v>0</v>
      </c>
      <c r="C75" s="77">
        <f>SUM(C74)</f>
        <v>0</v>
      </c>
      <c r="D75" s="1088">
        <f>+D74</f>
        <v>0</v>
      </c>
      <c r="E75" s="127">
        <f>SUM(E71:E74)</f>
        <v>0</v>
      </c>
      <c r="F75" s="77"/>
      <c r="G75" s="156"/>
      <c r="H75" s="1050"/>
      <c r="I75" s="210" t="e">
        <f>E75+F75/B75*100</f>
        <v>#DIV/0!</v>
      </c>
      <c r="J75" s="248" t="e">
        <f>E75+F75/C75*100</f>
        <v>#DIV/0!</v>
      </c>
      <c r="K75" s="265" t="e">
        <f t="shared" si="28"/>
        <v>#DIV/0!</v>
      </c>
      <c r="L75" s="914">
        <f>SUM(L74)</f>
        <v>0</v>
      </c>
      <c r="M75" s="916">
        <f>SUM(M74)</f>
        <v>0</v>
      </c>
      <c r="N75" s="916">
        <f>SUM(N74)</f>
        <v>0</v>
      </c>
      <c r="O75" s="916">
        <f>SUM(O74)</f>
        <v>0</v>
      </c>
      <c r="P75" s="1066">
        <f>SUM(P74)</f>
        <v>0</v>
      </c>
      <c r="Q75" s="78" t="e">
        <f>P75/B75*100</f>
        <v>#DIV/0!</v>
      </c>
      <c r="R75" s="232" t="e">
        <f>(P75-L75)/C75*100</f>
        <v>#DIV/0!</v>
      </c>
      <c r="S75" s="286" t="e">
        <f>(P75)/D75*100</f>
        <v>#DIV/0!</v>
      </c>
      <c r="T75" s="1003"/>
      <c r="U75" s="1006"/>
      <c r="V75" s="1005"/>
      <c r="W75" s="1005"/>
      <c r="X75" s="1005"/>
      <c r="Y75" s="1005"/>
      <c r="Z75" s="1005"/>
      <c r="AA75" s="990"/>
      <c r="AB75" s="150"/>
      <c r="AC75" s="150"/>
    </row>
    <row r="76" spans="1:29" s="1009" customFormat="1" ht="18.95" customHeight="1">
      <c r="A76" s="105" t="s">
        <v>25</v>
      </c>
      <c r="B76" s="221">
        <f>+B78-B63</f>
        <v>3650</v>
      </c>
      <c r="C76" s="222">
        <f>+C78-C63</f>
        <v>3228</v>
      </c>
      <c r="D76" s="1097">
        <f>+D78-D63</f>
        <v>912</v>
      </c>
      <c r="E76" s="223">
        <f>E78-E63</f>
        <v>644</v>
      </c>
      <c r="F76" s="224">
        <f>F78-F63</f>
        <v>1211</v>
      </c>
      <c r="G76" s="222"/>
      <c r="H76" s="1060"/>
      <c r="I76" s="1043">
        <f>(E76+F76)/B76*100</f>
        <v>50.821917808219176</v>
      </c>
      <c r="J76" s="253">
        <f>(E76+F76)/C76*100</f>
        <v>57.465923172242874</v>
      </c>
      <c r="K76" s="274">
        <f>(E76+F76)/D76*100</f>
        <v>203.39912280701756</v>
      </c>
      <c r="L76" s="938">
        <f>+L78-L63</f>
        <v>467</v>
      </c>
      <c r="M76" s="939">
        <f>+M78-M63</f>
        <v>239</v>
      </c>
      <c r="N76" s="939">
        <f>+N78-N63</f>
        <v>80</v>
      </c>
      <c r="O76" s="939">
        <f>+O78-O63</f>
        <v>26</v>
      </c>
      <c r="P76" s="1081">
        <f>+P78-P63</f>
        <v>812</v>
      </c>
      <c r="Q76" s="175">
        <f>P76/B76*100</f>
        <v>22.246575342465754</v>
      </c>
      <c r="R76" s="245">
        <f>(P76-L76)/C76*100</f>
        <v>10.687732342007434</v>
      </c>
      <c r="S76" s="298">
        <f>(P76)/D76*100</f>
        <v>89.035087719298247</v>
      </c>
      <c r="T76" s="1010"/>
      <c r="U76" s="1010"/>
    </row>
    <row r="77" spans="1:29" s="1009" customFormat="1" ht="18.95" customHeight="1" thickBot="1">
      <c r="A77" s="12" t="s">
        <v>26</v>
      </c>
      <c r="B77" s="71">
        <f>+B63+B74</f>
        <v>80</v>
      </c>
      <c r="C77" s="156">
        <f>+C63+C74</f>
        <v>79</v>
      </c>
      <c r="D77" s="1088">
        <f t="shared" ref="D77:R77" si="30">+D63</f>
        <v>79</v>
      </c>
      <c r="E77" s="77">
        <f t="shared" si="30"/>
        <v>0</v>
      </c>
      <c r="F77" s="137">
        <f t="shared" si="30"/>
        <v>71</v>
      </c>
      <c r="G77" s="156">
        <f t="shared" si="30"/>
        <v>0</v>
      </c>
      <c r="H77" s="1050"/>
      <c r="I77" s="210">
        <f>(E77+F77)/B77*100</f>
        <v>88.75</v>
      </c>
      <c r="J77" s="248">
        <f>(E77+F77)/C77*100</f>
        <v>89.87341772151899</v>
      </c>
      <c r="K77" s="275">
        <f t="shared" si="4"/>
        <v>89.87341772151899</v>
      </c>
      <c r="L77" s="914">
        <f t="shared" si="30"/>
        <v>0</v>
      </c>
      <c r="M77" s="915">
        <f t="shared" si="30"/>
        <v>0</v>
      </c>
      <c r="N77" s="916">
        <f t="shared" si="30"/>
        <v>0</v>
      </c>
      <c r="O77" s="916">
        <f t="shared" si="30"/>
        <v>0</v>
      </c>
      <c r="P77" s="1111">
        <v>0</v>
      </c>
      <c r="Q77" s="220">
        <f t="shared" si="30"/>
        <v>0</v>
      </c>
      <c r="R77" s="246">
        <f t="shared" si="30"/>
        <v>0</v>
      </c>
      <c r="S77" s="299">
        <f t="shared" si="8"/>
        <v>0</v>
      </c>
      <c r="T77" s="1010"/>
      <c r="U77" s="1010"/>
    </row>
    <row r="78" spans="1:29" s="1009" customFormat="1" ht="18.95" customHeight="1" thickBot="1">
      <c r="A78" s="174" t="s">
        <v>18</v>
      </c>
      <c r="B78" s="213">
        <f>B17+B23+B28+B61+B64+B69+B72+B74</f>
        <v>3730</v>
      </c>
      <c r="C78" s="214">
        <f>C17+C23+C28+C61+C64+C69+C72+C74</f>
        <v>3307</v>
      </c>
      <c r="D78" s="1098">
        <f t="shared" ref="D78:G78" si="31">D17+D23+D28+D61+D64+D69+D72</f>
        <v>991</v>
      </c>
      <c r="E78" s="213">
        <f t="shared" si="31"/>
        <v>644</v>
      </c>
      <c r="F78" s="215">
        <f t="shared" si="31"/>
        <v>1282</v>
      </c>
      <c r="G78" s="216">
        <f t="shared" si="31"/>
        <v>0</v>
      </c>
      <c r="H78" s="1059"/>
      <c r="I78" s="1044">
        <f>(E78+F78)/B78*100</f>
        <v>51.635388739946386</v>
      </c>
      <c r="J78" s="254">
        <f>(E78+F78)/C78*100</f>
        <v>58.240096764439066</v>
      </c>
      <c r="K78" s="276">
        <f t="shared" si="4"/>
        <v>194.34914228052472</v>
      </c>
      <c r="L78" s="940">
        <f>L17+L23+L28+L61+L64+L69+L72</f>
        <v>467</v>
      </c>
      <c r="M78" s="941">
        <f>M17+M23+M28+M61+M64+M69+M72</f>
        <v>239</v>
      </c>
      <c r="N78" s="941">
        <f>N17+N23+N28+N61+N64+N69+N72</f>
        <v>80</v>
      </c>
      <c r="O78" s="941">
        <f>O17+O23+O28+O61+O64+O69+O72</f>
        <v>26</v>
      </c>
      <c r="P78" s="1082">
        <f>P17+P23+P28+P61+P64+P69+P72</f>
        <v>812</v>
      </c>
      <c r="Q78" s="219">
        <f>P78/B78*100</f>
        <v>21.769436997319037</v>
      </c>
      <c r="R78" s="247">
        <f>(P78-L78)/C78*100</f>
        <v>10.432416087087995</v>
      </c>
      <c r="S78" s="300">
        <f>(P78)/D78*100</f>
        <v>81.937436932391535</v>
      </c>
      <c r="T78" s="1003"/>
      <c r="U78" s="1006"/>
      <c r="V78" s="1005"/>
      <c r="W78" s="1005"/>
      <c r="X78" s="1005"/>
      <c r="Y78" s="1005"/>
      <c r="Z78" s="1005"/>
      <c r="AA78" s="990"/>
      <c r="AB78" s="150"/>
      <c r="AC78" s="150"/>
    </row>
    <row r="79" spans="1:29" s="1009" customFormat="1" ht="21.75" customHeight="1">
      <c r="A79" s="942" t="s">
        <v>48</v>
      </c>
      <c r="B79" s="942"/>
      <c r="C79" s="942"/>
      <c r="D79" s="942"/>
      <c r="E79" s="942"/>
      <c r="F79" s="942"/>
      <c r="G79" s="942"/>
      <c r="H79" s="942"/>
      <c r="I79" s="942"/>
      <c r="J79" s="942"/>
      <c r="K79" s="942"/>
      <c r="L79" s="942"/>
      <c r="M79" s="942"/>
      <c r="N79" s="942"/>
      <c r="O79" s="942"/>
      <c r="P79" s="942"/>
      <c r="Q79" s="942"/>
      <c r="R79" s="942"/>
      <c r="S79" s="318"/>
      <c r="T79" s="1011"/>
      <c r="U79" s="1011"/>
      <c r="V79" s="1012"/>
      <c r="W79" s="1012"/>
      <c r="X79" s="1012"/>
      <c r="Y79" s="1012"/>
      <c r="Z79" s="1012"/>
      <c r="AA79" s="990"/>
      <c r="AB79" s="150"/>
      <c r="AC79" s="150"/>
    </row>
    <row r="80" spans="1:29" s="1015" customFormat="1" ht="18.75" customHeight="1">
      <c r="A80" s="943" t="s">
        <v>97</v>
      </c>
      <c r="B80" s="943"/>
      <c r="C80" s="943"/>
      <c r="D80" s="943"/>
      <c r="E80" s="943"/>
      <c r="F80" s="943"/>
      <c r="G80" s="943"/>
      <c r="H80" s="943"/>
      <c r="I80" s="943"/>
      <c r="J80" s="943"/>
      <c r="K80" s="943"/>
      <c r="L80" s="943"/>
      <c r="M80" s="943"/>
      <c r="N80" s="943"/>
      <c r="O80" s="943"/>
      <c r="P80" s="943"/>
      <c r="Q80" s="943"/>
      <c r="R80" s="943"/>
      <c r="S80" s="318"/>
      <c r="T80" s="1013"/>
      <c r="U80" s="1013"/>
      <c r="V80" s="1012"/>
      <c r="W80" s="1012"/>
      <c r="X80" s="1012"/>
      <c r="Y80" s="1012"/>
      <c r="Z80" s="1012"/>
      <c r="AA80" s="1014"/>
      <c r="AB80" s="1009"/>
      <c r="AC80" s="1009"/>
    </row>
    <row r="81" spans="1:29" s="149" customFormat="1" ht="20.25" customHeight="1">
      <c r="A81" s="943" t="s">
        <v>98</v>
      </c>
      <c r="B81" s="943"/>
      <c r="C81" s="943"/>
      <c r="D81" s="943"/>
      <c r="E81" s="943"/>
      <c r="F81" s="943"/>
      <c r="G81" s="943"/>
      <c r="H81" s="943"/>
      <c r="I81" s="943"/>
      <c r="J81" s="943"/>
      <c r="K81" s="943"/>
      <c r="L81" s="943"/>
      <c r="M81" s="943"/>
      <c r="N81" s="943"/>
      <c r="O81" s="943"/>
      <c r="P81" s="943"/>
      <c r="Q81" s="943"/>
      <c r="R81" s="943"/>
      <c r="S81" s="318"/>
      <c r="T81" s="1013"/>
      <c r="U81" s="1013"/>
      <c r="V81" s="1012"/>
      <c r="W81" s="1012"/>
      <c r="X81" s="1012"/>
      <c r="Y81" s="1012"/>
      <c r="Z81" s="1012"/>
      <c r="AA81" s="1014"/>
      <c r="AB81" s="1009"/>
      <c r="AC81" s="1009"/>
    </row>
    <row r="82" spans="1:29" ht="20.25" customHeight="1">
      <c r="A82" s="116" t="s">
        <v>45</v>
      </c>
      <c r="B82" s="99"/>
      <c r="C82" s="99"/>
      <c r="D82" s="1099"/>
      <c r="E82" s="99"/>
      <c r="F82" s="117"/>
      <c r="G82" s="99"/>
      <c r="H82" s="99"/>
      <c r="I82" s="99"/>
      <c r="J82" s="99"/>
      <c r="K82" s="281"/>
      <c r="L82" s="99"/>
      <c r="M82" s="99"/>
      <c r="N82" s="99"/>
      <c r="O82" s="149"/>
      <c r="P82" s="99"/>
      <c r="Q82" s="99"/>
      <c r="T82" s="1016"/>
      <c r="U82" s="1016"/>
      <c r="V82" s="149"/>
      <c r="W82" s="149"/>
      <c r="X82" s="149"/>
      <c r="Y82" s="149"/>
      <c r="Z82" s="149"/>
      <c r="AA82" s="1017"/>
      <c r="AB82" s="1015"/>
      <c r="AC82" s="1015"/>
    </row>
    <row r="83" spans="1:29" ht="20.25" customHeight="1">
      <c r="A83" s="116" t="s">
        <v>147</v>
      </c>
      <c r="B83" s="99"/>
      <c r="C83" s="99"/>
      <c r="D83" s="1099"/>
      <c r="E83" s="99"/>
      <c r="F83" s="117"/>
      <c r="G83" s="99"/>
      <c r="H83" s="99"/>
      <c r="I83" s="99"/>
      <c r="J83" s="99"/>
      <c r="K83" s="281"/>
      <c r="L83" s="99"/>
      <c r="M83" s="99"/>
      <c r="N83" s="99"/>
      <c r="O83" s="149"/>
      <c r="P83" s="99"/>
      <c r="Q83" s="99"/>
      <c r="T83" s="1016"/>
      <c r="U83" s="1016"/>
      <c r="V83" s="149"/>
      <c r="W83" s="149"/>
      <c r="X83" s="149"/>
      <c r="Y83" s="149"/>
      <c r="Z83" s="149"/>
      <c r="AA83" s="1017"/>
      <c r="AB83" s="1015"/>
      <c r="AC83" s="1015"/>
    </row>
    <row r="84" spans="1:29" ht="24" customHeight="1">
      <c r="A84" s="181" t="s">
        <v>39</v>
      </c>
      <c r="B84" s="180"/>
      <c r="C84" s="180"/>
      <c r="D84" s="1100"/>
      <c r="E84" s="180"/>
      <c r="F84" s="180"/>
      <c r="G84" s="180"/>
      <c r="H84" s="180"/>
      <c r="I84" s="180"/>
      <c r="J84" s="180"/>
      <c r="K84" s="282"/>
      <c r="L84" s="180"/>
      <c r="M84" s="180"/>
      <c r="N84" s="180"/>
      <c r="O84" s="180"/>
      <c r="Q84" s="180"/>
      <c r="S84" s="182" t="s">
        <v>145</v>
      </c>
      <c r="AA84" s="1019"/>
      <c r="AB84" s="149"/>
      <c r="AC84" s="149"/>
    </row>
  </sheetData>
  <mergeCells count="12">
    <mergeCell ref="A79:R79"/>
    <mergeCell ref="A80:R80"/>
    <mergeCell ref="A81:R81"/>
    <mergeCell ref="A1:R1"/>
    <mergeCell ref="A2:R2"/>
    <mergeCell ref="A4:A5"/>
    <mergeCell ref="B4:C4"/>
    <mergeCell ref="D4:D5"/>
    <mergeCell ref="I4:K4"/>
    <mergeCell ref="L4:P4"/>
    <mergeCell ref="Q4:S4"/>
    <mergeCell ref="E4:H4"/>
  </mergeCells>
  <printOptions horizontalCentered="1"/>
  <pageMargins left="0.35433070866141736" right="0.15748031496062992" top="0.35433070866141736" bottom="0.31496062992125984" header="0.15748031496062992" footer="0.15748031496062992"/>
  <pageSetup paperSize="9" scale="40" orientation="portrait" r:id="rId1"/>
  <headerFooter>
    <oddFooter>&amp;L&amp;"TH SarabunPSK,Regular"&amp;8&amp;K00+000&amp;Z&amp;F&amp;R&amp;"TH SarabunPSK,Regular"&amp;16&amp;K00+000&amp;P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85"/>
  <sheetViews>
    <sheetView showZeros="0" view="pageBreakPreview" zoomScale="90" zoomScaleNormal="90" zoomScaleSheetLayoutView="90" workbookViewId="0">
      <pane xSplit="1" topLeftCell="B1" activePane="topRight" state="frozen"/>
      <selection activeCell="G6" sqref="G6"/>
      <selection pane="topRight" activeCell="G11" sqref="G11"/>
    </sheetView>
  </sheetViews>
  <sheetFormatPr defaultColWidth="8.85546875" defaultRowHeight="15"/>
  <cols>
    <col min="1" max="1" width="37.7109375" style="751" customWidth="1"/>
    <col min="2" max="2" width="7.7109375" style="746" customWidth="1"/>
    <col min="3" max="3" width="8.140625" style="746" customWidth="1"/>
    <col min="4" max="4" width="9.140625" style="746" customWidth="1"/>
    <col min="5" max="5" width="10" style="746" customWidth="1"/>
    <col min="6" max="6" width="12.42578125" style="752" customWidth="1"/>
    <col min="7" max="7" width="10.7109375" style="903" customWidth="1"/>
    <col min="8" max="8" width="12.28515625" style="746" customWidth="1"/>
    <col min="9" max="9" width="12.85546875" style="746" customWidth="1"/>
    <col min="10" max="10" width="10.7109375" style="746" customWidth="1"/>
    <col min="11" max="11" width="8.5703125" style="753" customWidth="1"/>
    <col min="12" max="12" width="6.42578125" style="754" customWidth="1"/>
    <col min="13" max="13" width="5" style="754" customWidth="1"/>
    <col min="14" max="14" width="5.28515625" style="754" customWidth="1"/>
    <col min="15" max="15" width="7.5703125" style="780" customWidth="1"/>
    <col min="16" max="16" width="7.140625" style="749" customWidth="1"/>
    <col min="17" max="17" width="8" style="746" customWidth="1"/>
    <col min="18" max="18" width="7.85546875" style="746" customWidth="1"/>
    <col min="19" max="19" width="8.28515625" style="747" customWidth="1"/>
    <col min="20" max="20" width="41" style="317" customWidth="1"/>
    <col min="21" max="21" width="34.140625" style="317" bestFit="1" customWidth="1"/>
    <col min="22" max="22" width="10.7109375" style="100" customWidth="1"/>
    <col min="23" max="23" width="11.42578125" style="100" customWidth="1"/>
    <col min="24" max="26" width="11.7109375" style="100" customWidth="1"/>
    <col min="27" max="27" width="16.85546875" style="111" bestFit="1" customWidth="1"/>
    <col min="28" max="16384" width="8.85546875" style="100"/>
  </cols>
  <sheetData>
    <row r="1" spans="1:28" ht="27.75" customHeight="1">
      <c r="A1" s="960" t="s">
        <v>136</v>
      </c>
      <c r="B1" s="960"/>
      <c r="C1" s="960"/>
      <c r="D1" s="960"/>
      <c r="E1" s="960"/>
      <c r="F1" s="960"/>
      <c r="G1" s="960"/>
      <c r="H1" s="960"/>
      <c r="I1" s="960"/>
      <c r="J1" s="960"/>
      <c r="K1" s="960"/>
      <c r="L1" s="960"/>
      <c r="M1" s="960"/>
      <c r="N1" s="960"/>
      <c r="O1" s="960"/>
      <c r="P1" s="960"/>
      <c r="Q1" s="960"/>
      <c r="R1" s="960"/>
      <c r="S1" s="321"/>
      <c r="T1" s="301"/>
      <c r="U1" s="301"/>
      <c r="V1" s="319"/>
      <c r="W1" s="319"/>
      <c r="X1" s="319"/>
      <c r="Y1" s="319"/>
      <c r="Z1" s="319"/>
    </row>
    <row r="2" spans="1:28" s="31" customFormat="1" ht="23.25" customHeight="1">
      <c r="A2" s="961" t="s">
        <v>139</v>
      </c>
      <c r="B2" s="961"/>
      <c r="C2" s="961"/>
      <c r="D2" s="961"/>
      <c r="E2" s="961"/>
      <c r="F2" s="961"/>
      <c r="G2" s="961"/>
      <c r="H2" s="961"/>
      <c r="I2" s="961"/>
      <c r="J2" s="961"/>
      <c r="K2" s="961"/>
      <c r="L2" s="961"/>
      <c r="M2" s="961"/>
      <c r="N2" s="961"/>
      <c r="O2" s="961"/>
      <c r="P2" s="961"/>
      <c r="Q2" s="961"/>
      <c r="R2" s="961"/>
      <c r="S2" s="322"/>
      <c r="T2" s="302"/>
      <c r="U2" s="302"/>
      <c r="V2" s="112"/>
      <c r="W2" s="112"/>
      <c r="X2" s="112"/>
      <c r="Y2" s="112"/>
      <c r="Z2" s="112"/>
      <c r="AA2" s="94"/>
    </row>
    <row r="3" spans="1:28" s="31" customFormat="1" ht="24" customHeight="1" thickBot="1">
      <c r="A3" s="323" t="s">
        <v>100</v>
      </c>
      <c r="B3" s="324"/>
      <c r="C3" s="324"/>
      <c r="D3" s="324"/>
      <c r="E3" s="324"/>
      <c r="F3" s="325"/>
      <c r="G3" s="958" t="s">
        <v>133</v>
      </c>
      <c r="H3" s="958"/>
      <c r="I3" s="324"/>
      <c r="J3" s="324"/>
      <c r="K3" s="326"/>
      <c r="L3" s="327"/>
      <c r="M3" s="327"/>
      <c r="N3" s="327"/>
      <c r="O3" s="959" t="s">
        <v>133</v>
      </c>
      <c r="P3" s="959"/>
      <c r="Q3" s="324"/>
      <c r="R3" s="324"/>
      <c r="S3" s="328"/>
      <c r="T3" s="302"/>
      <c r="U3" s="302"/>
      <c r="V3" s="113"/>
      <c r="W3" s="320"/>
      <c r="X3" s="320"/>
      <c r="Y3" s="320"/>
      <c r="Z3" s="320"/>
      <c r="AA3" s="94"/>
    </row>
    <row r="4" spans="1:28" ht="42" customHeight="1">
      <c r="A4" s="962" t="s">
        <v>0</v>
      </c>
      <c r="B4" s="964" t="s">
        <v>47</v>
      </c>
      <c r="C4" s="965"/>
      <c r="D4" s="966" t="s">
        <v>89</v>
      </c>
      <c r="E4" s="968" t="s">
        <v>101</v>
      </c>
      <c r="F4" s="969"/>
      <c r="G4" s="969"/>
      <c r="H4" s="969"/>
      <c r="I4" s="970" t="s">
        <v>20</v>
      </c>
      <c r="J4" s="971"/>
      <c r="K4" s="972"/>
      <c r="L4" s="973" t="s">
        <v>150</v>
      </c>
      <c r="M4" s="974"/>
      <c r="N4" s="974"/>
      <c r="O4" s="974"/>
      <c r="P4" s="975"/>
      <c r="Q4" s="976" t="s">
        <v>21</v>
      </c>
      <c r="R4" s="977"/>
      <c r="S4" s="978"/>
      <c r="T4" s="303"/>
      <c r="U4" s="303"/>
      <c r="V4" s="96"/>
      <c r="W4" s="96"/>
      <c r="X4" s="96"/>
      <c r="Y4" s="96"/>
      <c r="Z4" s="96"/>
    </row>
    <row r="5" spans="1:28" ht="79.5" customHeight="1" thickBot="1">
      <c r="A5" s="963"/>
      <c r="B5" s="329" t="s">
        <v>102</v>
      </c>
      <c r="C5" s="330" t="s">
        <v>103</v>
      </c>
      <c r="D5" s="967"/>
      <c r="E5" s="331" t="s">
        <v>41</v>
      </c>
      <c r="F5" s="332" t="s">
        <v>42</v>
      </c>
      <c r="G5" s="756" t="s">
        <v>104</v>
      </c>
      <c r="H5" s="333" t="s">
        <v>105</v>
      </c>
      <c r="I5" s="334" t="s">
        <v>106</v>
      </c>
      <c r="J5" s="335" t="s">
        <v>107</v>
      </c>
      <c r="K5" s="336" t="s">
        <v>108</v>
      </c>
      <c r="L5" s="337" t="s">
        <v>27</v>
      </c>
      <c r="M5" s="338">
        <v>2</v>
      </c>
      <c r="N5" s="339">
        <v>3</v>
      </c>
      <c r="O5" s="781" t="s">
        <v>28</v>
      </c>
      <c r="P5" s="340" t="s">
        <v>109</v>
      </c>
      <c r="Q5" s="341" t="s">
        <v>110</v>
      </c>
      <c r="R5" s="335" t="s">
        <v>111</v>
      </c>
      <c r="S5" s="342" t="s">
        <v>112</v>
      </c>
      <c r="T5" s="304"/>
      <c r="U5" s="305"/>
      <c r="V5" s="114"/>
      <c r="W5" s="114"/>
      <c r="X5" s="114"/>
      <c r="Y5" s="114"/>
      <c r="Z5" s="114"/>
    </row>
    <row r="6" spans="1:28" ht="18.95" customHeight="1">
      <c r="A6" s="343" t="s">
        <v>1</v>
      </c>
      <c r="B6" s="344"/>
      <c r="C6" s="345"/>
      <c r="D6" s="346"/>
      <c r="E6" s="347"/>
      <c r="F6" s="348"/>
      <c r="G6" s="757"/>
      <c r="H6" s="349"/>
      <c r="I6" s="344"/>
      <c r="J6" s="348"/>
      <c r="K6" s="350"/>
      <c r="L6" s="351"/>
      <c r="M6" s="352"/>
      <c r="N6" s="353"/>
      <c r="O6" s="782"/>
      <c r="P6" s="354"/>
      <c r="Q6" s="355"/>
      <c r="R6" s="356"/>
      <c r="S6" s="357"/>
      <c r="T6" s="304" t="s">
        <v>34</v>
      </c>
      <c r="U6" s="306"/>
      <c r="V6" s="18"/>
      <c r="W6" s="18"/>
      <c r="X6" s="18"/>
      <c r="Y6" s="18"/>
      <c r="Z6" s="18"/>
    </row>
    <row r="7" spans="1:28" ht="18.95" customHeight="1">
      <c r="A7" s="358" t="s">
        <v>2</v>
      </c>
      <c r="B7" s="359">
        <v>79</v>
      </c>
      <c r="C7" s="360">
        <v>78</v>
      </c>
      <c r="D7" s="361">
        <v>79</v>
      </c>
      <c r="E7" s="362">
        <v>43</v>
      </c>
      <c r="F7" s="363">
        <v>17</v>
      </c>
      <c r="G7" s="758">
        <v>14</v>
      </c>
      <c r="H7" s="364">
        <f>SUM(E7:F7)</f>
        <v>60</v>
      </c>
      <c r="I7" s="365">
        <f>(E7+F7)/B7*100</f>
        <v>75.949367088607602</v>
      </c>
      <c r="J7" s="366">
        <f>(F7+G7)/C7*100</f>
        <v>39.743589743589745</v>
      </c>
      <c r="K7" s="367">
        <f>(E7+F7)/D7*100</f>
        <v>75.949367088607602</v>
      </c>
      <c r="L7" s="368">
        <v>1</v>
      </c>
      <c r="M7" s="369">
        <v>2</v>
      </c>
      <c r="N7" s="370"/>
      <c r="O7" s="783"/>
      <c r="P7" s="371">
        <f>SUM(L7:O7)</f>
        <v>3</v>
      </c>
      <c r="Q7" s="372">
        <f>P7/B7*100</f>
        <v>3.79746835443038</v>
      </c>
      <c r="R7" s="366">
        <f>(P7-L7)/C7*100</f>
        <v>2.5641025641025639</v>
      </c>
      <c r="S7" s="373">
        <f>(P7)/D7*100</f>
        <v>3.79746835443038</v>
      </c>
      <c r="T7" s="307">
        <f t="shared" ref="T7:T16" si="0">SUM(E7:F7)</f>
        <v>60</v>
      </c>
      <c r="U7" s="306"/>
      <c r="V7" s="18"/>
      <c r="W7" s="18"/>
      <c r="X7" s="18"/>
      <c r="Y7" s="18"/>
      <c r="Z7" s="18"/>
    </row>
    <row r="8" spans="1:28" ht="18.95" customHeight="1">
      <c r="A8" s="374" t="s">
        <v>30</v>
      </c>
      <c r="B8" s="375">
        <f>SUM(B9:B16)</f>
        <v>52</v>
      </c>
      <c r="C8" s="376">
        <f>SUM(C10:C16)</f>
        <v>51</v>
      </c>
      <c r="D8" s="377">
        <v>52</v>
      </c>
      <c r="E8" s="378"/>
      <c r="F8" s="379">
        <f>SUM(F10:F16)</f>
        <v>46</v>
      </c>
      <c r="G8" s="759"/>
      <c r="H8" s="380">
        <f t="shared" ref="H8:H71" si="1">SUM(E8:F8)</f>
        <v>46</v>
      </c>
      <c r="I8" s="381">
        <f>(E8+F8)/B8*100</f>
        <v>88.461538461538453</v>
      </c>
      <c r="J8" s="382">
        <f>(F8+G8)/C8*100</f>
        <v>90.196078431372555</v>
      </c>
      <c r="K8" s="383">
        <f>(E8+F8)/D8*100</f>
        <v>88.461538461538453</v>
      </c>
      <c r="L8" s="384">
        <f>SUM(L9:L16)</f>
        <v>1</v>
      </c>
      <c r="M8" s="385">
        <f>SUM(M9:M16)</f>
        <v>1</v>
      </c>
      <c r="N8" s="385">
        <f>SUM(N9:N16)</f>
        <v>0</v>
      </c>
      <c r="O8" s="784">
        <f>SUM(O9:O16)</f>
        <v>1</v>
      </c>
      <c r="P8" s="386">
        <f t="shared" ref="P8:P16" si="2">SUM(L8:O8)</f>
        <v>3</v>
      </c>
      <c r="Q8" s="387">
        <f>P8/B8*100</f>
        <v>5.7692307692307692</v>
      </c>
      <c r="R8" s="382">
        <f>(P8-L8)/C8*100</f>
        <v>3.9215686274509802</v>
      </c>
      <c r="S8" s="388">
        <f>(P8)/D8*100</f>
        <v>5.7692307692307692</v>
      </c>
      <c r="T8" s="307">
        <f t="shared" si="0"/>
        <v>46</v>
      </c>
      <c r="U8" s="306"/>
      <c r="V8" s="18"/>
      <c r="W8" s="18"/>
      <c r="X8" s="18"/>
      <c r="Y8" s="18"/>
      <c r="Z8" s="18"/>
    </row>
    <row r="9" spans="1:28" ht="18.95" customHeight="1">
      <c r="A9" s="389" t="s">
        <v>49</v>
      </c>
      <c r="B9" s="390">
        <v>41</v>
      </c>
      <c r="C9" s="391"/>
      <c r="D9" s="392">
        <v>41</v>
      </c>
      <c r="E9" s="393"/>
      <c r="F9" s="904"/>
      <c r="G9" s="901"/>
      <c r="H9" s="395">
        <f t="shared" si="1"/>
        <v>0</v>
      </c>
      <c r="I9" s="396"/>
      <c r="J9" s="397"/>
      <c r="K9" s="398"/>
      <c r="L9" s="399">
        <v>1</v>
      </c>
      <c r="M9" s="400"/>
      <c r="N9" s="400"/>
      <c r="O9" s="785"/>
      <c r="P9" s="401">
        <f t="shared" si="2"/>
        <v>1</v>
      </c>
      <c r="Q9" s="387">
        <f>P9/B9*100</f>
        <v>2.4390243902439024</v>
      </c>
      <c r="R9" s="394"/>
      <c r="S9" s="388">
        <f t="shared" ref="S9:S15" si="3">(P9)/D9*100</f>
        <v>2.4390243902439024</v>
      </c>
      <c r="T9" s="307">
        <f t="shared" si="0"/>
        <v>0</v>
      </c>
      <c r="U9" s="306"/>
      <c r="V9" s="18"/>
      <c r="W9" s="18"/>
      <c r="X9" s="18"/>
      <c r="Y9" s="18"/>
      <c r="Z9" s="18"/>
    </row>
    <row r="10" spans="1:28" ht="18.95" customHeight="1">
      <c r="A10" s="402" t="s">
        <v>50</v>
      </c>
      <c r="B10" s="390">
        <v>3</v>
      </c>
      <c r="C10" s="391">
        <v>12</v>
      </c>
      <c r="D10" s="392">
        <v>12</v>
      </c>
      <c r="E10" s="393"/>
      <c r="F10" s="904">
        <v>12</v>
      </c>
      <c r="G10" s="901"/>
      <c r="H10" s="395">
        <f t="shared" si="1"/>
        <v>12</v>
      </c>
      <c r="I10" s="396"/>
      <c r="J10" s="397">
        <f t="shared" ref="J10:J15" si="4">(F10+G10)/C10 * 100</f>
        <v>100</v>
      </c>
      <c r="K10" s="398">
        <f t="shared" ref="K10:K15" si="5">(E10+F10)/D10*100</f>
        <v>100</v>
      </c>
      <c r="L10" s="399"/>
      <c r="M10" s="403"/>
      <c r="N10" s="400"/>
      <c r="O10" s="786"/>
      <c r="P10" s="401">
        <f t="shared" si="2"/>
        <v>0</v>
      </c>
      <c r="Q10" s="404"/>
      <c r="R10" s="394">
        <f>(P10-L10)/C10*100</f>
        <v>0</v>
      </c>
      <c r="S10" s="388">
        <f t="shared" si="3"/>
        <v>0</v>
      </c>
      <c r="T10" s="307">
        <f t="shared" si="0"/>
        <v>12</v>
      </c>
      <c r="U10" s="306"/>
      <c r="V10" s="18"/>
      <c r="W10" s="18"/>
      <c r="X10" s="18"/>
      <c r="Y10" s="18"/>
      <c r="Z10" s="18"/>
    </row>
    <row r="11" spans="1:28" ht="18.95" customHeight="1">
      <c r="A11" s="402" t="s">
        <v>51</v>
      </c>
      <c r="B11" s="390">
        <v>3</v>
      </c>
      <c r="C11" s="391">
        <v>18</v>
      </c>
      <c r="D11" s="392">
        <v>18</v>
      </c>
      <c r="E11" s="393"/>
      <c r="F11" s="904">
        <v>14</v>
      </c>
      <c r="G11" s="901"/>
      <c r="H11" s="395">
        <f t="shared" si="1"/>
        <v>14</v>
      </c>
      <c r="I11" s="396"/>
      <c r="J11" s="397">
        <f t="shared" si="4"/>
        <v>77.777777777777786</v>
      </c>
      <c r="K11" s="398">
        <f t="shared" si="5"/>
        <v>77.777777777777786</v>
      </c>
      <c r="L11" s="399"/>
      <c r="M11" s="403">
        <v>1</v>
      </c>
      <c r="N11" s="400"/>
      <c r="O11" s="786"/>
      <c r="P11" s="401">
        <f t="shared" si="2"/>
        <v>1</v>
      </c>
      <c r="Q11" s="405"/>
      <c r="R11" s="397">
        <f>(P11-L11)/C11*100</f>
        <v>5.5555555555555554</v>
      </c>
      <c r="S11" s="388">
        <f>(P11)/D11*100</f>
        <v>5.5555555555555554</v>
      </c>
      <c r="T11" s="307">
        <f t="shared" si="0"/>
        <v>14</v>
      </c>
      <c r="U11" s="306"/>
      <c r="V11" s="18"/>
      <c r="W11" s="18"/>
      <c r="X11" s="18"/>
      <c r="Y11" s="18"/>
      <c r="Z11" s="18"/>
    </row>
    <row r="12" spans="1:28" ht="18.95" customHeight="1">
      <c r="A12" s="402" t="s">
        <v>31</v>
      </c>
      <c r="B12" s="390"/>
      <c r="C12" s="391"/>
      <c r="D12" s="392"/>
      <c r="E12" s="393"/>
      <c r="F12" s="904">
        <v>2</v>
      </c>
      <c r="G12" s="901"/>
      <c r="H12" s="395">
        <f t="shared" si="1"/>
        <v>2</v>
      </c>
      <c r="I12" s="396"/>
      <c r="J12" s="397"/>
      <c r="K12" s="398"/>
      <c r="L12" s="399"/>
      <c r="M12" s="403"/>
      <c r="N12" s="400"/>
      <c r="O12" s="786">
        <v>1</v>
      </c>
      <c r="P12" s="401">
        <f t="shared" si="2"/>
        <v>1</v>
      </c>
      <c r="Q12" s="405"/>
      <c r="R12" s="397"/>
      <c r="S12" s="388"/>
      <c r="T12" s="307">
        <f t="shared" si="0"/>
        <v>2</v>
      </c>
      <c r="U12" s="306"/>
      <c r="V12" s="18"/>
      <c r="W12" s="18"/>
      <c r="X12" s="18"/>
      <c r="Y12" s="18"/>
      <c r="Z12" s="18"/>
    </row>
    <row r="13" spans="1:28" ht="18.95" customHeight="1">
      <c r="A13" s="402" t="s">
        <v>52</v>
      </c>
      <c r="B13" s="390">
        <v>2</v>
      </c>
      <c r="C13" s="391">
        <v>7</v>
      </c>
      <c r="D13" s="392">
        <v>7</v>
      </c>
      <c r="E13" s="393"/>
      <c r="F13" s="904">
        <v>4</v>
      </c>
      <c r="G13" s="901"/>
      <c r="H13" s="395">
        <f t="shared" si="1"/>
        <v>4</v>
      </c>
      <c r="I13" s="396"/>
      <c r="J13" s="397">
        <f t="shared" si="4"/>
        <v>57.142857142857139</v>
      </c>
      <c r="K13" s="398">
        <f t="shared" si="5"/>
        <v>57.142857142857139</v>
      </c>
      <c r="L13" s="399"/>
      <c r="M13" s="403"/>
      <c r="N13" s="400"/>
      <c r="O13" s="786"/>
      <c r="P13" s="401">
        <f t="shared" si="2"/>
        <v>0</v>
      </c>
      <c r="Q13" s="404"/>
      <c r="R13" s="394">
        <f>(P13-L13)/C13*100</f>
        <v>0</v>
      </c>
      <c r="S13" s="388">
        <f t="shared" si="3"/>
        <v>0</v>
      </c>
      <c r="T13" s="307">
        <f t="shared" si="0"/>
        <v>4</v>
      </c>
      <c r="U13" s="306"/>
      <c r="V13" s="18"/>
      <c r="W13" s="18"/>
      <c r="X13" s="18"/>
      <c r="Y13" s="18"/>
      <c r="Z13" s="18"/>
    </row>
    <row r="14" spans="1:28" ht="18.95" customHeight="1">
      <c r="A14" s="402" t="s">
        <v>32</v>
      </c>
      <c r="B14" s="390"/>
      <c r="C14" s="391"/>
      <c r="D14" s="392"/>
      <c r="E14" s="393"/>
      <c r="F14" s="904">
        <v>1</v>
      </c>
      <c r="G14" s="901">
        <v>1</v>
      </c>
      <c r="H14" s="395">
        <f t="shared" si="1"/>
        <v>1</v>
      </c>
      <c r="I14" s="396"/>
      <c r="J14" s="397"/>
      <c r="K14" s="398"/>
      <c r="L14" s="399"/>
      <c r="M14" s="403"/>
      <c r="N14" s="400"/>
      <c r="O14" s="786"/>
      <c r="P14" s="401">
        <f t="shared" si="2"/>
        <v>0</v>
      </c>
      <c r="Q14" s="404"/>
      <c r="R14" s="394"/>
      <c r="S14" s="388"/>
      <c r="T14" s="307">
        <f t="shared" si="0"/>
        <v>1</v>
      </c>
      <c r="U14" s="306"/>
      <c r="V14" s="18"/>
      <c r="W14" s="18"/>
      <c r="X14" s="18"/>
      <c r="Y14" s="18"/>
      <c r="Z14" s="18"/>
    </row>
    <row r="15" spans="1:28" ht="18.95" customHeight="1">
      <c r="A15" s="402" t="s">
        <v>53</v>
      </c>
      <c r="B15" s="406">
        <v>3</v>
      </c>
      <c r="C15" s="407">
        <v>14</v>
      </c>
      <c r="D15" s="408">
        <v>14</v>
      </c>
      <c r="E15" s="393"/>
      <c r="F15" s="904">
        <v>12</v>
      </c>
      <c r="G15" s="901"/>
      <c r="H15" s="395">
        <f t="shared" si="1"/>
        <v>12</v>
      </c>
      <c r="I15" s="396"/>
      <c r="J15" s="397">
        <f t="shared" si="4"/>
        <v>85.714285714285708</v>
      </c>
      <c r="K15" s="398">
        <f t="shared" si="5"/>
        <v>85.714285714285708</v>
      </c>
      <c r="L15" s="399"/>
      <c r="M15" s="403"/>
      <c r="N15" s="400"/>
      <c r="O15" s="786"/>
      <c r="P15" s="401">
        <f t="shared" si="2"/>
        <v>0</v>
      </c>
      <c r="Q15" s="405"/>
      <c r="R15" s="397">
        <f>(P15-L15)/C15*100</f>
        <v>0</v>
      </c>
      <c r="S15" s="388">
        <f t="shared" si="3"/>
        <v>0</v>
      </c>
      <c r="T15" s="307">
        <f t="shared" si="0"/>
        <v>12</v>
      </c>
      <c r="U15" s="308"/>
      <c r="V15" s="93"/>
      <c r="W15" s="93"/>
      <c r="X15" s="93"/>
      <c r="Y15" s="93"/>
      <c r="Z15" s="93"/>
      <c r="AB15" s="111"/>
    </row>
    <row r="16" spans="1:28" ht="18.95" customHeight="1">
      <c r="A16" s="409" t="s">
        <v>33</v>
      </c>
      <c r="B16" s="410"/>
      <c r="C16" s="411"/>
      <c r="D16" s="412"/>
      <c r="E16" s="413"/>
      <c r="F16" s="905">
        <v>1</v>
      </c>
      <c r="G16" s="902">
        <v>1</v>
      </c>
      <c r="H16" s="414">
        <f t="shared" si="1"/>
        <v>1</v>
      </c>
      <c r="I16" s="415"/>
      <c r="J16" s="416"/>
      <c r="K16" s="398"/>
      <c r="L16" s="417"/>
      <c r="M16" s="418"/>
      <c r="N16" s="419"/>
      <c r="O16" s="787"/>
      <c r="P16" s="420">
        <f t="shared" si="2"/>
        <v>0</v>
      </c>
      <c r="Q16" s="421"/>
      <c r="R16" s="416"/>
      <c r="S16" s="388"/>
      <c r="T16" s="307">
        <f t="shared" si="0"/>
        <v>1</v>
      </c>
      <c r="U16" s="308"/>
      <c r="V16" s="93"/>
      <c r="W16" s="93"/>
      <c r="X16" s="93"/>
      <c r="Y16" s="93"/>
      <c r="Z16" s="93"/>
      <c r="AB16" s="111"/>
    </row>
    <row r="17" spans="1:28" s="438" customFormat="1" ht="18.95" customHeight="1" thickBot="1">
      <c r="A17" s="170" t="s">
        <v>3</v>
      </c>
      <c r="B17" s="422">
        <f>SUM(B7:B8)</f>
        <v>131</v>
      </c>
      <c r="C17" s="423">
        <f t="shared" ref="C17:H17" si="6">SUM(C7:C8)</f>
        <v>129</v>
      </c>
      <c r="D17" s="424">
        <f>SUM(D7:D8)</f>
        <v>131</v>
      </c>
      <c r="E17" s="422">
        <f t="shared" si="6"/>
        <v>43</v>
      </c>
      <c r="F17" s="425">
        <f t="shared" si="6"/>
        <v>63</v>
      </c>
      <c r="G17" s="760">
        <f>SUM(G7:G16)</f>
        <v>16</v>
      </c>
      <c r="H17" s="426">
        <f t="shared" si="6"/>
        <v>106</v>
      </c>
      <c r="I17" s="427">
        <f>E17+F17/B17*100</f>
        <v>91.091603053435108</v>
      </c>
      <c r="J17" s="425">
        <f>E17+F17/C17*100</f>
        <v>91.837209302325576</v>
      </c>
      <c r="K17" s="428">
        <f t="shared" ref="K17:K78" si="7">(E17+F17)/D17*100</f>
        <v>80.916030534351151</v>
      </c>
      <c r="L17" s="429">
        <f>SUM(L7:L8)</f>
        <v>2</v>
      </c>
      <c r="M17" s="430">
        <f>SUM(M7:M8)</f>
        <v>3</v>
      </c>
      <c r="N17" s="431">
        <f>SUM(N7:N8)</f>
        <v>0</v>
      </c>
      <c r="O17" s="788">
        <f>SUM(O7:O8)</f>
        <v>1</v>
      </c>
      <c r="P17" s="432">
        <f>SUM(P7:P8)</f>
        <v>6</v>
      </c>
      <c r="Q17" s="220">
        <f>P17/B17*100</f>
        <v>4.5801526717557248</v>
      </c>
      <c r="R17" s="246">
        <f>(P17-L17)/C17*100</f>
        <v>3.1007751937984498</v>
      </c>
      <c r="S17" s="433">
        <f>(P17)/D17*100</f>
        <v>4.5801526717557248</v>
      </c>
      <c r="T17" s="434"/>
      <c r="U17" s="435"/>
      <c r="V17" s="436"/>
      <c r="W17" s="436"/>
      <c r="X17" s="436"/>
      <c r="Y17" s="436"/>
      <c r="Z17" s="436"/>
      <c r="AA17" s="437"/>
    </row>
    <row r="18" spans="1:28" ht="18.95" customHeight="1">
      <c r="A18" s="439" t="s">
        <v>4</v>
      </c>
      <c r="B18" s="440"/>
      <c r="C18" s="441"/>
      <c r="D18" s="442"/>
      <c r="E18" s="443"/>
      <c r="F18" s="444"/>
      <c r="G18" s="761"/>
      <c r="H18" s="446">
        <f t="shared" si="1"/>
        <v>0</v>
      </c>
      <c r="I18" s="447"/>
      <c r="J18" s="444"/>
      <c r="K18" s="448"/>
      <c r="L18" s="447"/>
      <c r="M18" s="445"/>
      <c r="N18" s="444"/>
      <c r="O18" s="789"/>
      <c r="P18" s="449"/>
      <c r="Q18" s="450"/>
      <c r="R18" s="451"/>
      <c r="S18" s="452"/>
      <c r="T18" s="304" t="s">
        <v>35</v>
      </c>
      <c r="U18" s="304"/>
      <c r="V18" s="93"/>
      <c r="W18" s="93"/>
      <c r="X18" s="93"/>
      <c r="Y18" s="93"/>
      <c r="Z18" s="93"/>
    </row>
    <row r="19" spans="1:28" ht="18.95" customHeight="1">
      <c r="A19" s="453" t="s">
        <v>113</v>
      </c>
      <c r="B19" s="454">
        <f>SUM(B20:B21)</f>
        <v>248</v>
      </c>
      <c r="C19" s="455">
        <f t="shared" ref="C19:P19" si="8">SUM(C20:C21)</f>
        <v>213</v>
      </c>
      <c r="D19" s="456">
        <f t="shared" si="8"/>
        <v>248</v>
      </c>
      <c r="E19" s="457">
        <f t="shared" si="8"/>
        <v>115</v>
      </c>
      <c r="F19" s="458">
        <f t="shared" si="8"/>
        <v>44</v>
      </c>
      <c r="G19" s="762">
        <f t="shared" si="8"/>
        <v>25</v>
      </c>
      <c r="H19" s="460">
        <f t="shared" si="1"/>
        <v>159</v>
      </c>
      <c r="I19" s="381">
        <f t="shared" si="8"/>
        <v>0</v>
      </c>
      <c r="J19" s="382"/>
      <c r="K19" s="461">
        <f t="shared" si="7"/>
        <v>64.112903225806448</v>
      </c>
      <c r="L19" s="462">
        <f t="shared" si="8"/>
        <v>35</v>
      </c>
      <c r="M19" s="459">
        <f t="shared" si="8"/>
        <v>12</v>
      </c>
      <c r="N19" s="458">
        <f t="shared" si="8"/>
        <v>5</v>
      </c>
      <c r="O19" s="790">
        <f t="shared" si="8"/>
        <v>4</v>
      </c>
      <c r="P19" s="463">
        <f t="shared" si="8"/>
        <v>56</v>
      </c>
      <c r="Q19" s="464">
        <f>P19/B19*100</f>
        <v>22.58064516129032</v>
      </c>
      <c r="R19" s="465">
        <f>(P19-L19)/C19*100</f>
        <v>9.8591549295774641</v>
      </c>
      <c r="S19" s="388">
        <f>(P19-L19)/D19*100</f>
        <v>8.4677419354838701</v>
      </c>
      <c r="T19" s="304"/>
      <c r="U19" s="304"/>
      <c r="V19" s="93"/>
      <c r="W19" s="93"/>
      <c r="X19" s="93"/>
      <c r="Y19" s="93"/>
      <c r="Z19" s="93"/>
    </row>
    <row r="20" spans="1:28" s="485" customFormat="1" ht="18.95" customHeight="1">
      <c r="A20" s="466" t="s">
        <v>114</v>
      </c>
      <c r="B20" s="467">
        <v>248</v>
      </c>
      <c r="C20" s="468"/>
      <c r="D20" s="469"/>
      <c r="E20" s="470"/>
      <c r="F20" s="471"/>
      <c r="G20" s="763"/>
      <c r="H20" s="472">
        <f t="shared" si="1"/>
        <v>0</v>
      </c>
      <c r="I20" s="473">
        <f>E20+F20/B20*100</f>
        <v>0</v>
      </c>
      <c r="J20" s="474"/>
      <c r="K20" s="475"/>
      <c r="L20" s="476">
        <f>25+10</f>
        <v>35</v>
      </c>
      <c r="M20" s="471">
        <f>17+1-10</f>
        <v>8</v>
      </c>
      <c r="N20" s="471">
        <f>3-1</f>
        <v>2</v>
      </c>
      <c r="O20" s="791">
        <f>1+1</f>
        <v>2</v>
      </c>
      <c r="P20" s="477">
        <f>SUM(L20:O20)</f>
        <v>47</v>
      </c>
      <c r="Q20" s="478">
        <f>P20/B20*100</f>
        <v>18.951612903225808</v>
      </c>
      <c r="R20" s="479"/>
      <c r="S20" s="480"/>
      <c r="T20" s="481">
        <f>SUM(E20:F20)</f>
        <v>0</v>
      </c>
      <c r="U20" s="482"/>
      <c r="V20" s="483"/>
      <c r="W20" s="483"/>
      <c r="X20" s="483"/>
      <c r="Y20" s="483"/>
      <c r="Z20" s="483"/>
      <c r="AA20" s="484"/>
      <c r="AB20" s="484"/>
    </row>
    <row r="21" spans="1:28" s="485" customFormat="1" ht="18.95" customHeight="1">
      <c r="A21" s="486" t="s">
        <v>115</v>
      </c>
      <c r="B21" s="487"/>
      <c r="C21" s="488">
        <v>213</v>
      </c>
      <c r="D21" s="489">
        <v>248</v>
      </c>
      <c r="E21" s="490">
        <v>115</v>
      </c>
      <c r="F21" s="491">
        <v>44</v>
      </c>
      <c r="G21" s="764">
        <v>25</v>
      </c>
      <c r="H21" s="492">
        <f t="shared" si="1"/>
        <v>159</v>
      </c>
      <c r="I21" s="493"/>
      <c r="J21" s="494"/>
      <c r="K21" s="495">
        <f>(E21+F21)/D21*100</f>
        <v>64.112903225806448</v>
      </c>
      <c r="L21" s="496">
        <v>0</v>
      </c>
      <c r="M21" s="497">
        <f>3+1</f>
        <v>4</v>
      </c>
      <c r="N21" s="498">
        <f>4-1</f>
        <v>3</v>
      </c>
      <c r="O21" s="792">
        <v>2</v>
      </c>
      <c r="P21" s="499">
        <f>SUM(L21:O21)</f>
        <v>9</v>
      </c>
      <c r="Q21" s="500"/>
      <c r="R21" s="501"/>
      <c r="S21" s="502">
        <f>(P21-L21)/D21*100</f>
        <v>3.6290322580645165</v>
      </c>
      <c r="T21" s="481">
        <f>SUM(E21:F21)</f>
        <v>159</v>
      </c>
      <c r="U21" s="482"/>
      <c r="V21" s="483"/>
      <c r="W21" s="483"/>
      <c r="X21" s="483"/>
      <c r="Y21" s="483"/>
      <c r="Z21" s="483"/>
      <c r="AA21" s="484"/>
    </row>
    <row r="22" spans="1:28" ht="18.95" customHeight="1">
      <c r="A22" s="503" t="s">
        <v>116</v>
      </c>
      <c r="B22" s="504">
        <v>175</v>
      </c>
      <c r="C22" s="505">
        <v>156</v>
      </c>
      <c r="D22" s="506">
        <v>175</v>
      </c>
      <c r="E22" s="507"/>
      <c r="F22" s="508">
        <v>118</v>
      </c>
      <c r="G22" s="765">
        <v>24</v>
      </c>
      <c r="H22" s="510">
        <f t="shared" si="1"/>
        <v>118</v>
      </c>
      <c r="I22" s="511">
        <f>E22+F22/B22*100</f>
        <v>67.428571428571431</v>
      </c>
      <c r="J22" s="512">
        <f>E22+F22/C22*100</f>
        <v>75.641025641025635</v>
      </c>
      <c r="K22" s="513">
        <f t="shared" si="7"/>
        <v>67.428571428571431</v>
      </c>
      <c r="L22" s="514">
        <f>16+3</f>
        <v>19</v>
      </c>
      <c r="M22" s="509">
        <f>12+2-3</f>
        <v>11</v>
      </c>
      <c r="N22" s="508">
        <f>2-2</f>
        <v>0</v>
      </c>
      <c r="O22" s="793">
        <v>2</v>
      </c>
      <c r="P22" s="515">
        <f>SUM(L22:O22)</f>
        <v>32</v>
      </c>
      <c r="Q22" s="516"/>
      <c r="R22" s="517">
        <f>(P22-L22)/C22*100</f>
        <v>8.3333333333333321</v>
      </c>
      <c r="S22" s="518">
        <f>(P22-L22)/D22*100</f>
        <v>7.4285714285714288</v>
      </c>
      <c r="T22" s="307">
        <f>SUM(E22:F22)</f>
        <v>118</v>
      </c>
      <c r="U22" s="308"/>
      <c r="V22" s="93"/>
      <c r="W22" s="93"/>
      <c r="X22" s="93"/>
      <c r="Y22" s="93"/>
      <c r="Z22" s="93"/>
    </row>
    <row r="23" spans="1:28" s="438" customFormat="1" ht="18.95" customHeight="1" thickBot="1">
      <c r="A23" s="170" t="s">
        <v>5</v>
      </c>
      <c r="B23" s="422">
        <f>SUM(B20:B22)</f>
        <v>423</v>
      </c>
      <c r="C23" s="423">
        <f>SUM(C20:C22)</f>
        <v>369</v>
      </c>
      <c r="D23" s="424">
        <f>SUM(D20:D22)</f>
        <v>423</v>
      </c>
      <c r="E23" s="422">
        <f>SUM(E20:E22)</f>
        <v>115</v>
      </c>
      <c r="F23" s="425">
        <f>SUM(F20:F22)</f>
        <v>162</v>
      </c>
      <c r="G23" s="760">
        <f>SUM(G19:G22)</f>
        <v>74</v>
      </c>
      <c r="H23" s="426">
        <f t="shared" si="1"/>
        <v>277</v>
      </c>
      <c r="I23" s="427">
        <f>E23+F23/B23*100</f>
        <v>153.29787234042553</v>
      </c>
      <c r="J23" s="425">
        <f>E23+F23/C23*100</f>
        <v>158.90243902439025</v>
      </c>
      <c r="K23" s="428">
        <f t="shared" si="7"/>
        <v>65.484633569739941</v>
      </c>
      <c r="L23" s="429">
        <f>SUM(L20:L22)</f>
        <v>54</v>
      </c>
      <c r="M23" s="430">
        <f>SUM(M20:M22)</f>
        <v>23</v>
      </c>
      <c r="N23" s="431">
        <f>SUM(N20:N22)</f>
        <v>5</v>
      </c>
      <c r="O23" s="788">
        <f>SUM(O20:O22)</f>
        <v>6</v>
      </c>
      <c r="P23" s="432">
        <f>SUM(P20:P22)</f>
        <v>88</v>
      </c>
      <c r="Q23" s="220">
        <f>P23/B23*100</f>
        <v>20.803782505910164</v>
      </c>
      <c r="R23" s="246">
        <f>(P23-L23)/C23*100</f>
        <v>9.2140921409214087</v>
      </c>
      <c r="S23" s="433">
        <f>(P23-L23)/D23*100</f>
        <v>8.0378250591016549</v>
      </c>
      <c r="T23" s="434"/>
      <c r="U23" s="435"/>
      <c r="V23" s="436"/>
      <c r="W23" s="436"/>
      <c r="X23" s="436"/>
      <c r="Y23" s="436"/>
      <c r="Z23" s="436"/>
      <c r="AA23" s="437"/>
    </row>
    <row r="24" spans="1:28" ht="18.95" customHeight="1">
      <c r="A24" s="519" t="s">
        <v>6</v>
      </c>
      <c r="B24" s="520"/>
      <c r="C24" s="521"/>
      <c r="D24" s="522"/>
      <c r="E24" s="523"/>
      <c r="F24" s="524"/>
      <c r="G24" s="766"/>
      <c r="H24" s="526">
        <f t="shared" si="1"/>
        <v>0</v>
      </c>
      <c r="I24" s="527"/>
      <c r="J24" s="524"/>
      <c r="K24" s="528"/>
      <c r="L24" s="527"/>
      <c r="M24" s="525"/>
      <c r="N24" s="524"/>
      <c r="O24" s="794"/>
      <c r="P24" s="529"/>
      <c r="Q24" s="530"/>
      <c r="R24" s="531"/>
      <c r="S24" s="532"/>
      <c r="T24" s="304" t="s">
        <v>35</v>
      </c>
      <c r="U24" s="304"/>
      <c r="V24" s="93"/>
      <c r="W24" s="93"/>
      <c r="X24" s="93"/>
      <c r="Y24" s="93"/>
      <c r="Z24" s="93"/>
    </row>
    <row r="25" spans="1:28" ht="18.95" customHeight="1">
      <c r="A25" s="533" t="s">
        <v>7</v>
      </c>
      <c r="B25" s="534">
        <v>110</v>
      </c>
      <c r="C25" s="535">
        <v>96</v>
      </c>
      <c r="D25" s="536">
        <v>110</v>
      </c>
      <c r="E25" s="537">
        <v>5</v>
      </c>
      <c r="F25" s="538">
        <v>64</v>
      </c>
      <c r="G25" s="767">
        <v>31</v>
      </c>
      <c r="H25" s="540">
        <f t="shared" si="1"/>
        <v>69</v>
      </c>
      <c r="I25" s="365"/>
      <c r="J25" s="366"/>
      <c r="K25" s="541">
        <f t="shared" si="7"/>
        <v>62.727272727272734</v>
      </c>
      <c r="L25" s="542">
        <f>6+9</f>
        <v>15</v>
      </c>
      <c r="M25" s="539">
        <f>11+1-9</f>
        <v>3</v>
      </c>
      <c r="N25" s="538">
        <f>3-1</f>
        <v>2</v>
      </c>
      <c r="O25" s="795">
        <v>1</v>
      </c>
      <c r="P25" s="543">
        <f>SUM(L25:O25)</f>
        <v>21</v>
      </c>
      <c r="Q25" s="544">
        <f>P25/B25*100</f>
        <v>19.090909090909093</v>
      </c>
      <c r="R25" s="545">
        <f>(P25-L25)/C25*100</f>
        <v>6.25</v>
      </c>
      <c r="S25" s="546">
        <f>(P25-L25)/D25*100</f>
        <v>5.4545454545454541</v>
      </c>
      <c r="T25" s="307">
        <f>SUM(E25:F25)</f>
        <v>69</v>
      </c>
      <c r="U25" s="308"/>
      <c r="V25" s="93"/>
      <c r="W25" s="93"/>
      <c r="X25" s="93"/>
      <c r="Y25" s="93"/>
      <c r="Z25" s="93"/>
    </row>
    <row r="26" spans="1:28" ht="18.95" customHeight="1">
      <c r="A26" s="547" t="s">
        <v>8</v>
      </c>
      <c r="B26" s="454">
        <v>111</v>
      </c>
      <c r="C26" s="455">
        <v>92</v>
      </c>
      <c r="D26" s="456">
        <v>111</v>
      </c>
      <c r="E26" s="457"/>
      <c r="F26" s="458">
        <v>58</v>
      </c>
      <c r="G26" s="762">
        <v>18</v>
      </c>
      <c r="H26" s="460">
        <f t="shared" si="1"/>
        <v>58</v>
      </c>
      <c r="I26" s="381"/>
      <c r="J26" s="382"/>
      <c r="K26" s="461">
        <f t="shared" si="7"/>
        <v>52.252252252252248</v>
      </c>
      <c r="L26" s="462">
        <f>20+3</f>
        <v>23</v>
      </c>
      <c r="M26" s="459">
        <f>11+3-3</f>
        <v>11</v>
      </c>
      <c r="N26" s="458">
        <f>4-3</f>
        <v>1</v>
      </c>
      <c r="O26" s="790">
        <v>1</v>
      </c>
      <c r="P26" s="463">
        <f>SUM(L26:O26)</f>
        <v>36</v>
      </c>
      <c r="Q26" s="548">
        <f>P26/B26*100</f>
        <v>32.432432432432435</v>
      </c>
      <c r="R26" s="465">
        <f>(P26-L26)/C26*100</f>
        <v>14.130434782608695</v>
      </c>
      <c r="S26" s="549">
        <f>(P26-L26)/D26*100</f>
        <v>11.711711711711711</v>
      </c>
      <c r="T26" s="307">
        <f>SUM(E26:F26)</f>
        <v>58</v>
      </c>
      <c r="U26" s="308"/>
      <c r="V26" s="93"/>
      <c r="W26" s="93"/>
      <c r="X26" s="93"/>
      <c r="Y26" s="93"/>
      <c r="Z26" s="93"/>
    </row>
    <row r="27" spans="1:28" ht="18.95" customHeight="1">
      <c r="A27" s="358" t="s">
        <v>9</v>
      </c>
      <c r="B27" s="550">
        <v>135</v>
      </c>
      <c r="C27" s="551">
        <v>111</v>
      </c>
      <c r="D27" s="552">
        <v>135</v>
      </c>
      <c r="E27" s="553"/>
      <c r="F27" s="554">
        <v>11</v>
      </c>
      <c r="G27" s="768">
        <v>30</v>
      </c>
      <c r="H27" s="556">
        <f t="shared" si="1"/>
        <v>11</v>
      </c>
      <c r="I27" s="511"/>
      <c r="J27" s="512"/>
      <c r="K27" s="557">
        <f t="shared" si="7"/>
        <v>8.1481481481481488</v>
      </c>
      <c r="L27" s="558">
        <f>20+3</f>
        <v>23</v>
      </c>
      <c r="M27" s="555">
        <f>22+1-3</f>
        <v>20</v>
      </c>
      <c r="N27" s="554">
        <f>8-1</f>
        <v>7</v>
      </c>
      <c r="O27" s="796">
        <v>1</v>
      </c>
      <c r="P27" s="559">
        <f>SUM(L27:O27)</f>
        <v>51</v>
      </c>
      <c r="Q27" s="560">
        <f>P27/B27*100</f>
        <v>37.777777777777779</v>
      </c>
      <c r="R27" s="561">
        <f>(P27-L27)/C27*100</f>
        <v>25.225225225225223</v>
      </c>
      <c r="S27" s="562">
        <f>(P27-L27)/D27*100</f>
        <v>20.74074074074074</v>
      </c>
      <c r="T27" s="307">
        <f>SUM(E27:F27)</f>
        <v>11</v>
      </c>
      <c r="U27" s="308"/>
      <c r="V27" s="93"/>
      <c r="W27" s="93"/>
      <c r="X27" s="93"/>
      <c r="Y27" s="93"/>
      <c r="Z27" s="93"/>
    </row>
    <row r="28" spans="1:28" s="438" customFormat="1" ht="18.95" customHeight="1" thickBot="1">
      <c r="A28" s="563" t="s">
        <v>10</v>
      </c>
      <c r="B28" s="422">
        <f t="shared" ref="B28:G28" si="9">SUM(B25:B27)</f>
        <v>356</v>
      </c>
      <c r="C28" s="423">
        <f t="shared" si="9"/>
        <v>299</v>
      </c>
      <c r="D28" s="424">
        <f t="shared" si="9"/>
        <v>356</v>
      </c>
      <c r="E28" s="422">
        <f t="shared" si="9"/>
        <v>5</v>
      </c>
      <c r="F28" s="425">
        <f t="shared" si="9"/>
        <v>133</v>
      </c>
      <c r="G28" s="760">
        <f t="shared" si="9"/>
        <v>79</v>
      </c>
      <c r="H28" s="426">
        <f t="shared" si="1"/>
        <v>138</v>
      </c>
      <c r="I28" s="427">
        <f>E28+F28/B28*100</f>
        <v>42.359550561797754</v>
      </c>
      <c r="J28" s="425">
        <f>E28+F28/C28*100</f>
        <v>49.481605351170565</v>
      </c>
      <c r="K28" s="564">
        <f t="shared" si="7"/>
        <v>38.764044943820224</v>
      </c>
      <c r="L28" s="565">
        <f>SUM(L25:L27)</f>
        <v>61</v>
      </c>
      <c r="M28" s="566">
        <f>SUM(M25:M27)</f>
        <v>34</v>
      </c>
      <c r="N28" s="567">
        <f>SUM(N25:N27)</f>
        <v>10</v>
      </c>
      <c r="O28" s="797">
        <f>SUM(O25:O27)</f>
        <v>3</v>
      </c>
      <c r="P28" s="568">
        <f>SUM(P25:P27)</f>
        <v>108</v>
      </c>
      <c r="Q28" s="569">
        <f>P28/B28*100</f>
        <v>30.337078651685395</v>
      </c>
      <c r="R28" s="570">
        <f>(P28-L28)/C28*100</f>
        <v>15.719063545150503</v>
      </c>
      <c r="S28" s="571">
        <f>(P28-L28)/D28*100</f>
        <v>13.202247191011235</v>
      </c>
      <c r="T28" s="434"/>
      <c r="U28" s="435"/>
      <c r="V28" s="436"/>
      <c r="W28" s="436"/>
      <c r="X28" s="436"/>
      <c r="Y28" s="436"/>
      <c r="Z28" s="436"/>
      <c r="AA28" s="437"/>
    </row>
    <row r="29" spans="1:28" ht="18.95" customHeight="1">
      <c r="A29" s="519" t="s">
        <v>11</v>
      </c>
      <c r="B29" s="520"/>
      <c r="C29" s="521"/>
      <c r="D29" s="522"/>
      <c r="E29" s="523"/>
      <c r="F29" s="524"/>
      <c r="G29" s="766"/>
      <c r="H29" s="526">
        <f t="shared" si="1"/>
        <v>0</v>
      </c>
      <c r="I29" s="527"/>
      <c r="J29" s="524"/>
      <c r="K29" s="528"/>
      <c r="L29" s="527"/>
      <c r="M29" s="525"/>
      <c r="N29" s="524"/>
      <c r="O29" s="794"/>
      <c r="P29" s="529"/>
      <c r="Q29" s="530"/>
      <c r="R29" s="531"/>
      <c r="S29" s="532"/>
      <c r="T29" s="304" t="s">
        <v>35</v>
      </c>
      <c r="U29" s="304" t="s">
        <v>37</v>
      </c>
      <c r="V29" s="93"/>
      <c r="W29" s="93"/>
      <c r="X29" s="93"/>
      <c r="Y29" s="93"/>
      <c r="Z29" s="93"/>
    </row>
    <row r="30" spans="1:28" ht="18.95" customHeight="1">
      <c r="A30" s="572" t="s">
        <v>38</v>
      </c>
      <c r="B30" s="573">
        <v>1608</v>
      </c>
      <c r="C30" s="574"/>
      <c r="D30" s="575"/>
      <c r="E30" s="576"/>
      <c r="F30" s="577"/>
      <c r="G30" s="769"/>
      <c r="H30" s="578">
        <f t="shared" si="1"/>
        <v>0</v>
      </c>
      <c r="I30" s="381">
        <f t="shared" ref="I30:I53" si="10">E30+F30/B30*100</f>
        <v>0</v>
      </c>
      <c r="J30" s="366"/>
      <c r="K30" s="579"/>
      <c r="L30" s="580">
        <f>156+61</f>
        <v>217</v>
      </c>
      <c r="M30" s="581">
        <f>61-61</f>
        <v>0</v>
      </c>
      <c r="N30" s="582"/>
      <c r="O30" s="798"/>
      <c r="P30" s="583">
        <f t="shared" ref="P30:P60" si="11">SUM(L30:O30)</f>
        <v>217</v>
      </c>
      <c r="Q30" s="584">
        <f>P30/B30*100</f>
        <v>13.495024875621892</v>
      </c>
      <c r="R30" s="585"/>
      <c r="S30" s="586"/>
      <c r="T30" s="310"/>
      <c r="U30" s="308"/>
      <c r="V30" s="93"/>
      <c r="W30" s="93"/>
      <c r="X30" s="93"/>
      <c r="Y30" s="93"/>
      <c r="Z30" s="93"/>
    </row>
    <row r="31" spans="1:28" ht="18.95" customHeight="1">
      <c r="A31" s="587" t="s">
        <v>60</v>
      </c>
      <c r="B31" s="588"/>
      <c r="C31" s="589"/>
      <c r="D31" s="552"/>
      <c r="E31" s="590"/>
      <c r="F31" s="591"/>
      <c r="G31" s="770"/>
      <c r="H31" s="592">
        <f t="shared" si="1"/>
        <v>0</v>
      </c>
      <c r="I31" s="381"/>
      <c r="J31" s="382"/>
      <c r="K31" s="593"/>
      <c r="L31" s="594"/>
      <c r="M31" s="595"/>
      <c r="N31" s="596"/>
      <c r="O31" s="799"/>
      <c r="P31" s="597">
        <f t="shared" si="11"/>
        <v>0</v>
      </c>
      <c r="Q31" s="598"/>
      <c r="R31" s="599"/>
      <c r="S31" s="600"/>
      <c r="T31" s="310"/>
      <c r="U31" s="308"/>
      <c r="V31" s="93"/>
      <c r="W31" s="93"/>
      <c r="X31" s="93"/>
      <c r="Y31" s="93"/>
      <c r="Z31" s="93"/>
    </row>
    <row r="32" spans="1:28" s="140" customFormat="1" ht="18.95" customHeight="1">
      <c r="A32" s="587" t="s">
        <v>61</v>
      </c>
      <c r="B32" s="454">
        <v>50</v>
      </c>
      <c r="C32" s="455">
        <v>121</v>
      </c>
      <c r="D32" s="601">
        <v>121</v>
      </c>
      <c r="E32" s="602">
        <v>2</v>
      </c>
      <c r="F32" s="603">
        <v>32</v>
      </c>
      <c r="G32" s="771">
        <v>51</v>
      </c>
      <c r="H32" s="605">
        <f t="shared" si="1"/>
        <v>34</v>
      </c>
      <c r="I32" s="381">
        <f t="shared" si="10"/>
        <v>66</v>
      </c>
      <c r="J32" s="382">
        <f t="shared" ref="J32:J54" si="12">E32+F32/C32*100</f>
        <v>28.446280991735538</v>
      </c>
      <c r="K32" s="606">
        <f t="shared" si="7"/>
        <v>28.099173553719009</v>
      </c>
      <c r="L32" s="607">
        <f>4+2</f>
        <v>6</v>
      </c>
      <c r="M32" s="604">
        <f>12-2</f>
        <v>10</v>
      </c>
      <c r="N32" s="603">
        <v>1</v>
      </c>
      <c r="O32" s="800">
        <v>5</v>
      </c>
      <c r="P32" s="608">
        <f t="shared" si="11"/>
        <v>22</v>
      </c>
      <c r="Q32" s="609"/>
      <c r="R32" s="610">
        <f t="shared" ref="R32:R45" si="13">(P32-L32)/C32*100</f>
        <v>13.223140495867769</v>
      </c>
      <c r="S32" s="611">
        <f t="shared" ref="S32:S45" si="14">(P32-L32)/D32*100</f>
        <v>13.223140495867769</v>
      </c>
      <c r="T32" s="311">
        <f>SUM(E32:F32)</f>
        <v>34</v>
      </c>
      <c r="U32" s="312">
        <f>+C32-T32</f>
        <v>87</v>
      </c>
      <c r="V32" s="138"/>
      <c r="W32" s="138"/>
      <c r="X32" s="138"/>
      <c r="Y32" s="138"/>
      <c r="Z32" s="138"/>
      <c r="AA32" s="139"/>
    </row>
    <row r="33" spans="1:27" ht="18.95" customHeight="1">
      <c r="A33" s="612" t="s">
        <v>62</v>
      </c>
      <c r="B33" s="454">
        <v>43</v>
      </c>
      <c r="C33" s="455">
        <v>101</v>
      </c>
      <c r="D33" s="601">
        <v>101</v>
      </c>
      <c r="E33" s="602">
        <v>4</v>
      </c>
      <c r="F33" s="603">
        <v>10</v>
      </c>
      <c r="G33" s="771">
        <v>17</v>
      </c>
      <c r="H33" s="605">
        <f t="shared" si="1"/>
        <v>14</v>
      </c>
      <c r="I33" s="381">
        <f t="shared" si="10"/>
        <v>27.255813953488371</v>
      </c>
      <c r="J33" s="382">
        <f t="shared" si="12"/>
        <v>13.900990099009901</v>
      </c>
      <c r="K33" s="606">
        <f t="shared" si="7"/>
        <v>13.861386138613863</v>
      </c>
      <c r="L33" s="607">
        <f>4+2</f>
        <v>6</v>
      </c>
      <c r="M33" s="604">
        <f>30+6-2</f>
        <v>34</v>
      </c>
      <c r="N33" s="603">
        <f>14+1-6</f>
        <v>9</v>
      </c>
      <c r="O33" s="800">
        <f>6-1</f>
        <v>5</v>
      </c>
      <c r="P33" s="608">
        <f t="shared" si="11"/>
        <v>54</v>
      </c>
      <c r="Q33" s="609"/>
      <c r="R33" s="610">
        <f t="shared" si="13"/>
        <v>47.524752475247524</v>
      </c>
      <c r="S33" s="611">
        <f t="shared" si="14"/>
        <v>47.524752475247524</v>
      </c>
      <c r="T33" s="307">
        <f t="shared" ref="T33:T59" si="15">SUM(E33:F33)</f>
        <v>14</v>
      </c>
      <c r="U33" s="309">
        <f t="shared" ref="U33:U59" si="16">+C33-T33</f>
        <v>87</v>
      </c>
      <c r="V33" s="125"/>
      <c r="W33" s="93"/>
      <c r="X33" s="93"/>
      <c r="Y33" s="93"/>
      <c r="Z33" s="93"/>
    </row>
    <row r="34" spans="1:27" s="140" customFormat="1" ht="18.95" customHeight="1">
      <c r="A34" s="612" t="s">
        <v>63</v>
      </c>
      <c r="B34" s="454">
        <v>38</v>
      </c>
      <c r="C34" s="455">
        <v>121</v>
      </c>
      <c r="D34" s="601">
        <v>121</v>
      </c>
      <c r="E34" s="602">
        <v>59</v>
      </c>
      <c r="F34" s="603">
        <v>36</v>
      </c>
      <c r="G34" s="771">
        <v>12</v>
      </c>
      <c r="H34" s="605">
        <f t="shared" si="1"/>
        <v>95</v>
      </c>
      <c r="I34" s="381">
        <f t="shared" si="10"/>
        <v>153.73684210526315</v>
      </c>
      <c r="J34" s="382">
        <f t="shared" si="12"/>
        <v>88.752066115702476</v>
      </c>
      <c r="K34" s="606">
        <f t="shared" si="7"/>
        <v>78.512396694214885</v>
      </c>
      <c r="L34" s="607">
        <f>4+1</f>
        <v>5</v>
      </c>
      <c r="M34" s="604">
        <f>2-1</f>
        <v>1</v>
      </c>
      <c r="N34" s="603">
        <v>1</v>
      </c>
      <c r="O34" s="800">
        <v>2</v>
      </c>
      <c r="P34" s="608">
        <f t="shared" si="11"/>
        <v>9</v>
      </c>
      <c r="Q34" s="609"/>
      <c r="R34" s="610">
        <f t="shared" si="13"/>
        <v>3.3057851239669422</v>
      </c>
      <c r="S34" s="611">
        <f t="shared" si="14"/>
        <v>3.3057851239669422</v>
      </c>
      <c r="T34" s="311">
        <f t="shared" si="15"/>
        <v>95</v>
      </c>
      <c r="U34" s="312">
        <f t="shared" si="16"/>
        <v>26</v>
      </c>
      <c r="V34" s="138"/>
      <c r="W34" s="138"/>
      <c r="X34" s="138"/>
      <c r="Y34" s="138"/>
      <c r="Z34" s="138"/>
      <c r="AA34" s="139"/>
    </row>
    <row r="35" spans="1:27" s="140" customFormat="1" ht="18.95" customHeight="1">
      <c r="A35" s="612" t="s">
        <v>64</v>
      </c>
      <c r="B35" s="454">
        <v>66</v>
      </c>
      <c r="C35" s="455">
        <v>145</v>
      </c>
      <c r="D35" s="601">
        <v>145</v>
      </c>
      <c r="E35" s="602">
        <v>47</v>
      </c>
      <c r="F35" s="603">
        <v>35</v>
      </c>
      <c r="G35" s="771">
        <v>27</v>
      </c>
      <c r="H35" s="605">
        <f t="shared" si="1"/>
        <v>82</v>
      </c>
      <c r="I35" s="381">
        <f t="shared" si="10"/>
        <v>100.03030303030303</v>
      </c>
      <c r="J35" s="382">
        <f t="shared" si="12"/>
        <v>71.137931034482762</v>
      </c>
      <c r="K35" s="606">
        <f t="shared" si="7"/>
        <v>56.551724137931039</v>
      </c>
      <c r="L35" s="607">
        <f>6+3</f>
        <v>9</v>
      </c>
      <c r="M35" s="604">
        <f>11+1-3</f>
        <v>9</v>
      </c>
      <c r="N35" s="603">
        <f>6-1</f>
        <v>5</v>
      </c>
      <c r="O35" s="800">
        <v>1</v>
      </c>
      <c r="P35" s="608">
        <f t="shared" si="11"/>
        <v>24</v>
      </c>
      <c r="Q35" s="609"/>
      <c r="R35" s="610">
        <f t="shared" si="13"/>
        <v>10.344827586206897</v>
      </c>
      <c r="S35" s="611">
        <f t="shared" si="14"/>
        <v>10.344827586206897</v>
      </c>
      <c r="T35" s="311">
        <f t="shared" si="15"/>
        <v>82</v>
      </c>
      <c r="U35" s="312">
        <f t="shared" si="16"/>
        <v>63</v>
      </c>
      <c r="V35" s="138"/>
      <c r="W35" s="138"/>
      <c r="X35" s="138"/>
      <c r="Y35" s="138"/>
      <c r="Z35" s="138"/>
      <c r="AA35" s="139"/>
    </row>
    <row r="36" spans="1:27" ht="18.95" customHeight="1">
      <c r="A36" s="612" t="s">
        <v>65</v>
      </c>
      <c r="B36" s="454">
        <v>55</v>
      </c>
      <c r="C36" s="455">
        <v>101</v>
      </c>
      <c r="D36" s="601">
        <v>101</v>
      </c>
      <c r="E36" s="602"/>
      <c r="F36" s="603">
        <v>12</v>
      </c>
      <c r="G36" s="771">
        <v>30</v>
      </c>
      <c r="H36" s="605">
        <f t="shared" si="1"/>
        <v>12</v>
      </c>
      <c r="I36" s="381">
        <f t="shared" si="10"/>
        <v>21.818181818181817</v>
      </c>
      <c r="J36" s="382">
        <f t="shared" si="12"/>
        <v>11.881188118811881</v>
      </c>
      <c r="K36" s="606">
        <f t="shared" si="7"/>
        <v>11.881188118811881</v>
      </c>
      <c r="L36" s="607">
        <f>2+1</f>
        <v>3</v>
      </c>
      <c r="M36" s="604">
        <f>20-1</f>
        <v>19</v>
      </c>
      <c r="N36" s="603">
        <v>4</v>
      </c>
      <c r="O36" s="800">
        <v>4</v>
      </c>
      <c r="P36" s="608">
        <f t="shared" si="11"/>
        <v>30</v>
      </c>
      <c r="Q36" s="609"/>
      <c r="R36" s="610">
        <f t="shared" si="13"/>
        <v>26.732673267326735</v>
      </c>
      <c r="S36" s="611">
        <f t="shared" si="14"/>
        <v>26.732673267326735</v>
      </c>
      <c r="T36" s="307">
        <f t="shared" si="15"/>
        <v>12</v>
      </c>
      <c r="U36" s="309">
        <f t="shared" si="16"/>
        <v>89</v>
      </c>
      <c r="V36" s="93"/>
      <c r="W36" s="93"/>
      <c r="X36" s="93"/>
      <c r="Y36" s="93"/>
      <c r="Z36" s="93"/>
    </row>
    <row r="37" spans="1:27" s="140" customFormat="1" ht="18.95" customHeight="1">
      <c r="A37" s="612" t="s">
        <v>66</v>
      </c>
      <c r="B37" s="454">
        <v>75</v>
      </c>
      <c r="C37" s="455">
        <v>151</v>
      </c>
      <c r="D37" s="601">
        <v>151</v>
      </c>
      <c r="E37" s="602">
        <v>40</v>
      </c>
      <c r="F37" s="603">
        <v>90</v>
      </c>
      <c r="G37" s="771">
        <v>21</v>
      </c>
      <c r="H37" s="605">
        <f t="shared" si="1"/>
        <v>130</v>
      </c>
      <c r="I37" s="381">
        <f t="shared" si="10"/>
        <v>160</v>
      </c>
      <c r="J37" s="382">
        <f t="shared" si="12"/>
        <v>99.602649006622528</v>
      </c>
      <c r="K37" s="606">
        <f t="shared" si="7"/>
        <v>86.092715231788077</v>
      </c>
      <c r="L37" s="607">
        <f>2+2</f>
        <v>4</v>
      </c>
      <c r="M37" s="604">
        <f>7-2</f>
        <v>5</v>
      </c>
      <c r="N37" s="603">
        <v>2</v>
      </c>
      <c r="O37" s="800">
        <v>3</v>
      </c>
      <c r="P37" s="608">
        <f t="shared" si="11"/>
        <v>14</v>
      </c>
      <c r="Q37" s="609"/>
      <c r="R37" s="610">
        <f t="shared" si="13"/>
        <v>6.6225165562913908</v>
      </c>
      <c r="S37" s="611">
        <f t="shared" si="14"/>
        <v>6.6225165562913908</v>
      </c>
      <c r="T37" s="311">
        <f t="shared" si="15"/>
        <v>130</v>
      </c>
      <c r="U37" s="312">
        <f t="shared" si="16"/>
        <v>21</v>
      </c>
      <c r="V37" s="138"/>
      <c r="W37" s="138"/>
      <c r="X37" s="138"/>
      <c r="Y37" s="138"/>
      <c r="Z37" s="138"/>
      <c r="AA37" s="139"/>
    </row>
    <row r="38" spans="1:27" s="140" customFormat="1" ht="18.95" customHeight="1">
      <c r="A38" s="612" t="s">
        <v>67</v>
      </c>
      <c r="B38" s="454">
        <v>18</v>
      </c>
      <c r="C38" s="455">
        <v>116</v>
      </c>
      <c r="D38" s="601">
        <v>116</v>
      </c>
      <c r="E38" s="602">
        <v>13</v>
      </c>
      <c r="F38" s="603">
        <v>23</v>
      </c>
      <c r="G38" s="771">
        <v>18</v>
      </c>
      <c r="H38" s="605">
        <f t="shared" si="1"/>
        <v>36</v>
      </c>
      <c r="I38" s="381">
        <f t="shared" si="10"/>
        <v>140.77777777777777</v>
      </c>
      <c r="J38" s="382">
        <f t="shared" si="12"/>
        <v>32.827586206896555</v>
      </c>
      <c r="K38" s="606">
        <f t="shared" si="7"/>
        <v>31.03448275862069</v>
      </c>
      <c r="L38" s="607">
        <f>2+5</f>
        <v>7</v>
      </c>
      <c r="M38" s="604">
        <f>30+4-5</f>
        <v>29</v>
      </c>
      <c r="N38" s="603">
        <f>7-4</f>
        <v>3</v>
      </c>
      <c r="O38" s="800">
        <f>2+1</f>
        <v>3</v>
      </c>
      <c r="P38" s="608">
        <f t="shared" si="11"/>
        <v>42</v>
      </c>
      <c r="Q38" s="609"/>
      <c r="R38" s="610">
        <f t="shared" si="13"/>
        <v>30.172413793103448</v>
      </c>
      <c r="S38" s="611">
        <f t="shared" si="14"/>
        <v>30.172413793103448</v>
      </c>
      <c r="T38" s="311">
        <f t="shared" si="15"/>
        <v>36</v>
      </c>
      <c r="U38" s="312">
        <f t="shared" si="16"/>
        <v>80</v>
      </c>
      <c r="V38" s="138"/>
      <c r="W38" s="138"/>
      <c r="X38" s="138"/>
      <c r="Y38" s="138"/>
      <c r="Z38" s="138"/>
      <c r="AA38" s="139"/>
    </row>
    <row r="39" spans="1:27" s="140" customFormat="1" ht="18.95" customHeight="1">
      <c r="A39" s="587" t="s">
        <v>68</v>
      </c>
      <c r="B39" s="454">
        <v>56</v>
      </c>
      <c r="C39" s="455">
        <v>121</v>
      </c>
      <c r="D39" s="601">
        <v>121</v>
      </c>
      <c r="E39" s="602">
        <v>67</v>
      </c>
      <c r="F39" s="603">
        <v>35</v>
      </c>
      <c r="G39" s="771">
        <v>18</v>
      </c>
      <c r="H39" s="605">
        <f t="shared" si="1"/>
        <v>102</v>
      </c>
      <c r="I39" s="381">
        <f t="shared" si="10"/>
        <v>129.5</v>
      </c>
      <c r="J39" s="382">
        <f t="shared" si="12"/>
        <v>95.925619834710744</v>
      </c>
      <c r="K39" s="606">
        <f t="shared" si="7"/>
        <v>84.297520661157023</v>
      </c>
      <c r="L39" s="607">
        <f>1+1</f>
        <v>2</v>
      </c>
      <c r="M39" s="604">
        <f>5-1</f>
        <v>4</v>
      </c>
      <c r="N39" s="603">
        <v>1</v>
      </c>
      <c r="O39" s="800"/>
      <c r="P39" s="608">
        <f t="shared" si="11"/>
        <v>7</v>
      </c>
      <c r="Q39" s="609"/>
      <c r="R39" s="610">
        <f t="shared" si="13"/>
        <v>4.1322314049586781</v>
      </c>
      <c r="S39" s="611">
        <f t="shared" si="14"/>
        <v>4.1322314049586781</v>
      </c>
      <c r="T39" s="311">
        <f t="shared" si="15"/>
        <v>102</v>
      </c>
      <c r="U39" s="312">
        <f t="shared" si="16"/>
        <v>19</v>
      </c>
      <c r="V39" s="138"/>
      <c r="W39" s="138"/>
      <c r="X39" s="138"/>
      <c r="Y39" s="138"/>
      <c r="Z39" s="138"/>
      <c r="AA39" s="139"/>
    </row>
    <row r="40" spans="1:27" ht="18.95" customHeight="1">
      <c r="A40" s="587" t="s">
        <v>69</v>
      </c>
      <c r="B40" s="454">
        <v>43</v>
      </c>
      <c r="C40" s="455">
        <v>64</v>
      </c>
      <c r="D40" s="601">
        <v>64</v>
      </c>
      <c r="E40" s="602"/>
      <c r="F40" s="603">
        <v>12</v>
      </c>
      <c r="G40" s="771">
        <v>18</v>
      </c>
      <c r="H40" s="605">
        <f t="shared" si="1"/>
        <v>12</v>
      </c>
      <c r="I40" s="381">
        <f t="shared" si="10"/>
        <v>27.906976744186046</v>
      </c>
      <c r="J40" s="382">
        <f t="shared" si="12"/>
        <v>18.75</v>
      </c>
      <c r="K40" s="606">
        <f t="shared" si="7"/>
        <v>18.75</v>
      </c>
      <c r="L40" s="607">
        <f>2+4</f>
        <v>6</v>
      </c>
      <c r="M40" s="604">
        <f>14+1-4</f>
        <v>11</v>
      </c>
      <c r="N40" s="603">
        <f>7-1</f>
        <v>6</v>
      </c>
      <c r="O40" s="800">
        <v>2</v>
      </c>
      <c r="P40" s="608">
        <f t="shared" si="11"/>
        <v>25</v>
      </c>
      <c r="Q40" s="609"/>
      <c r="R40" s="610">
        <f t="shared" si="13"/>
        <v>29.6875</v>
      </c>
      <c r="S40" s="611">
        <f t="shared" si="14"/>
        <v>29.6875</v>
      </c>
      <c r="T40" s="307">
        <f t="shared" si="15"/>
        <v>12</v>
      </c>
      <c r="U40" s="309">
        <f t="shared" si="16"/>
        <v>52</v>
      </c>
      <c r="V40" s="125"/>
      <c r="W40" s="93"/>
      <c r="X40" s="93"/>
      <c r="Y40" s="93"/>
      <c r="Z40" s="93"/>
    </row>
    <row r="41" spans="1:27" s="140" customFormat="1" ht="18.95" customHeight="1">
      <c r="A41" s="587" t="s">
        <v>70</v>
      </c>
      <c r="B41" s="454">
        <v>87</v>
      </c>
      <c r="C41" s="455">
        <v>149</v>
      </c>
      <c r="D41" s="601">
        <v>149</v>
      </c>
      <c r="E41" s="602">
        <v>57</v>
      </c>
      <c r="F41" s="603">
        <v>52</v>
      </c>
      <c r="G41" s="771">
        <v>26</v>
      </c>
      <c r="H41" s="605">
        <f t="shared" si="1"/>
        <v>109</v>
      </c>
      <c r="I41" s="381">
        <f t="shared" si="10"/>
        <v>116.77011494252875</v>
      </c>
      <c r="J41" s="382">
        <f t="shared" si="12"/>
        <v>91.899328859060404</v>
      </c>
      <c r="K41" s="606">
        <f t="shared" si="7"/>
        <v>73.154362416107389</v>
      </c>
      <c r="L41" s="607">
        <f>4+2</f>
        <v>6</v>
      </c>
      <c r="M41" s="604">
        <f>6-2</f>
        <v>4</v>
      </c>
      <c r="N41" s="603">
        <v>1</v>
      </c>
      <c r="O41" s="800">
        <v>1</v>
      </c>
      <c r="P41" s="608">
        <f t="shared" si="11"/>
        <v>12</v>
      </c>
      <c r="Q41" s="609"/>
      <c r="R41" s="610">
        <f t="shared" si="13"/>
        <v>4.0268456375838921</v>
      </c>
      <c r="S41" s="611">
        <f t="shared" si="14"/>
        <v>4.0268456375838921</v>
      </c>
      <c r="T41" s="311">
        <f t="shared" si="15"/>
        <v>109</v>
      </c>
      <c r="U41" s="312">
        <f t="shared" si="16"/>
        <v>40</v>
      </c>
      <c r="V41" s="138"/>
      <c r="W41" s="138"/>
      <c r="X41" s="138"/>
      <c r="Y41" s="138"/>
      <c r="Z41" s="138"/>
      <c r="AA41" s="139"/>
    </row>
    <row r="42" spans="1:27" s="140" customFormat="1" ht="18.95" customHeight="1">
      <c r="A42" s="587" t="s">
        <v>71</v>
      </c>
      <c r="B42" s="454">
        <v>73</v>
      </c>
      <c r="C42" s="455">
        <v>150</v>
      </c>
      <c r="D42" s="601">
        <v>150</v>
      </c>
      <c r="E42" s="602">
        <v>35</v>
      </c>
      <c r="F42" s="603">
        <v>83</v>
      </c>
      <c r="G42" s="771">
        <v>29</v>
      </c>
      <c r="H42" s="605">
        <f t="shared" si="1"/>
        <v>118</v>
      </c>
      <c r="I42" s="381">
        <f t="shared" si="10"/>
        <v>148.69863013698631</v>
      </c>
      <c r="J42" s="382">
        <f t="shared" si="12"/>
        <v>90.333333333333343</v>
      </c>
      <c r="K42" s="606">
        <f t="shared" si="7"/>
        <v>78.666666666666657</v>
      </c>
      <c r="L42" s="607">
        <f>5+1</f>
        <v>6</v>
      </c>
      <c r="M42" s="604">
        <f>6+1-1</f>
        <v>6</v>
      </c>
      <c r="N42" s="603">
        <f>5-1</f>
        <v>4</v>
      </c>
      <c r="O42" s="800"/>
      <c r="P42" s="608">
        <f t="shared" si="11"/>
        <v>16</v>
      </c>
      <c r="Q42" s="609"/>
      <c r="R42" s="610">
        <f t="shared" si="13"/>
        <v>6.666666666666667</v>
      </c>
      <c r="S42" s="611">
        <f t="shared" si="14"/>
        <v>6.666666666666667</v>
      </c>
      <c r="T42" s="311">
        <f t="shared" si="15"/>
        <v>118</v>
      </c>
      <c r="U42" s="312">
        <f t="shared" si="16"/>
        <v>32</v>
      </c>
      <c r="V42" s="138"/>
      <c r="W42" s="138"/>
      <c r="X42" s="138"/>
      <c r="Y42" s="138"/>
      <c r="Z42" s="138"/>
      <c r="AA42" s="139"/>
    </row>
    <row r="43" spans="1:27" s="140" customFormat="1" ht="18.95" customHeight="1">
      <c r="A43" s="612" t="s">
        <v>72</v>
      </c>
      <c r="B43" s="454">
        <v>35</v>
      </c>
      <c r="C43" s="455">
        <v>120</v>
      </c>
      <c r="D43" s="601">
        <v>120</v>
      </c>
      <c r="E43" s="602">
        <v>10</v>
      </c>
      <c r="F43" s="603">
        <v>23</v>
      </c>
      <c r="G43" s="771">
        <v>39</v>
      </c>
      <c r="H43" s="605">
        <f t="shared" si="1"/>
        <v>33</v>
      </c>
      <c r="I43" s="381">
        <f t="shared" si="10"/>
        <v>75.714285714285708</v>
      </c>
      <c r="J43" s="382">
        <f t="shared" si="12"/>
        <v>29.166666666666668</v>
      </c>
      <c r="K43" s="606">
        <f t="shared" si="7"/>
        <v>27.500000000000004</v>
      </c>
      <c r="L43" s="607">
        <v>4</v>
      </c>
      <c r="M43" s="604">
        <f>7+2</f>
        <v>9</v>
      </c>
      <c r="N43" s="603">
        <f>7-2</f>
        <v>5</v>
      </c>
      <c r="O43" s="800"/>
      <c r="P43" s="608">
        <f t="shared" si="11"/>
        <v>18</v>
      </c>
      <c r="Q43" s="609"/>
      <c r="R43" s="610">
        <f t="shared" si="13"/>
        <v>11.666666666666666</v>
      </c>
      <c r="S43" s="611">
        <f t="shared" si="14"/>
        <v>11.666666666666666</v>
      </c>
      <c r="T43" s="311">
        <f t="shared" si="15"/>
        <v>33</v>
      </c>
      <c r="U43" s="312">
        <f t="shared" si="16"/>
        <v>87</v>
      </c>
      <c r="V43" s="138"/>
      <c r="W43" s="138"/>
      <c r="X43" s="138"/>
      <c r="Y43" s="138"/>
      <c r="Z43" s="138"/>
      <c r="AA43" s="139"/>
    </row>
    <row r="44" spans="1:27" s="140" customFormat="1" ht="18.95" customHeight="1">
      <c r="A44" s="613" t="s">
        <v>73</v>
      </c>
      <c r="B44" s="454">
        <v>39</v>
      </c>
      <c r="C44" s="455">
        <v>120</v>
      </c>
      <c r="D44" s="601">
        <v>120</v>
      </c>
      <c r="E44" s="602">
        <v>12</v>
      </c>
      <c r="F44" s="603">
        <v>13</v>
      </c>
      <c r="G44" s="771">
        <v>46</v>
      </c>
      <c r="H44" s="605">
        <f t="shared" si="1"/>
        <v>25</v>
      </c>
      <c r="I44" s="381">
        <f t="shared" si="10"/>
        <v>45.333333333333329</v>
      </c>
      <c r="J44" s="382">
        <f t="shared" si="12"/>
        <v>22.833333333333336</v>
      </c>
      <c r="K44" s="606">
        <f t="shared" si="7"/>
        <v>20.833333333333336</v>
      </c>
      <c r="L44" s="607">
        <v>6</v>
      </c>
      <c r="M44" s="604">
        <f>17+1</f>
        <v>18</v>
      </c>
      <c r="N44" s="603">
        <f>5-1</f>
        <v>4</v>
      </c>
      <c r="O44" s="800">
        <f>3+1</f>
        <v>4</v>
      </c>
      <c r="P44" s="608">
        <f t="shared" si="11"/>
        <v>32</v>
      </c>
      <c r="Q44" s="609"/>
      <c r="R44" s="610">
        <f t="shared" si="13"/>
        <v>21.666666666666668</v>
      </c>
      <c r="S44" s="611">
        <f t="shared" si="14"/>
        <v>21.666666666666668</v>
      </c>
      <c r="T44" s="311">
        <f t="shared" si="15"/>
        <v>25</v>
      </c>
      <c r="U44" s="312">
        <f t="shared" si="16"/>
        <v>95</v>
      </c>
      <c r="V44" s="138"/>
      <c r="W44" s="138"/>
      <c r="X44" s="138"/>
      <c r="Y44" s="138"/>
      <c r="Z44" s="138"/>
      <c r="AA44" s="139"/>
    </row>
    <row r="45" spans="1:27" s="140" customFormat="1" ht="18.95" customHeight="1">
      <c r="A45" s="612" t="s">
        <v>74</v>
      </c>
      <c r="B45" s="454">
        <v>65</v>
      </c>
      <c r="C45" s="455">
        <v>120</v>
      </c>
      <c r="D45" s="601">
        <v>120</v>
      </c>
      <c r="E45" s="602"/>
      <c r="F45" s="603">
        <v>91</v>
      </c>
      <c r="G45" s="771">
        <v>20</v>
      </c>
      <c r="H45" s="605">
        <f t="shared" si="1"/>
        <v>91</v>
      </c>
      <c r="I45" s="381">
        <f t="shared" si="10"/>
        <v>140</v>
      </c>
      <c r="J45" s="382">
        <f t="shared" si="12"/>
        <v>75.833333333333329</v>
      </c>
      <c r="K45" s="606">
        <f t="shared" si="7"/>
        <v>75.833333333333329</v>
      </c>
      <c r="L45" s="607">
        <v>6</v>
      </c>
      <c r="M45" s="604">
        <f>5+1</f>
        <v>6</v>
      </c>
      <c r="N45" s="603">
        <f>2-1</f>
        <v>1</v>
      </c>
      <c r="O45" s="800">
        <v>4</v>
      </c>
      <c r="P45" s="608">
        <f t="shared" si="11"/>
        <v>17</v>
      </c>
      <c r="Q45" s="609"/>
      <c r="R45" s="610">
        <f t="shared" si="13"/>
        <v>9.1666666666666661</v>
      </c>
      <c r="S45" s="611">
        <f t="shared" si="14"/>
        <v>9.1666666666666661</v>
      </c>
      <c r="T45" s="311">
        <f t="shared" si="15"/>
        <v>91</v>
      </c>
      <c r="U45" s="312">
        <f t="shared" si="16"/>
        <v>29</v>
      </c>
      <c r="V45" s="138"/>
      <c r="W45" s="138"/>
      <c r="X45" s="138"/>
      <c r="Y45" s="138"/>
      <c r="Z45" s="138"/>
      <c r="AA45" s="139"/>
    </row>
    <row r="46" spans="1:27" s="140" customFormat="1" ht="18.95" customHeight="1">
      <c r="A46" s="612" t="s">
        <v>75</v>
      </c>
      <c r="B46" s="454"/>
      <c r="C46" s="455"/>
      <c r="D46" s="456"/>
      <c r="E46" s="602"/>
      <c r="F46" s="603"/>
      <c r="G46" s="771"/>
      <c r="H46" s="605">
        <f t="shared" si="1"/>
        <v>0</v>
      </c>
      <c r="I46" s="381"/>
      <c r="J46" s="382"/>
      <c r="K46" s="606"/>
      <c r="L46" s="607"/>
      <c r="M46" s="604"/>
      <c r="N46" s="603"/>
      <c r="O46" s="800"/>
      <c r="P46" s="608">
        <f t="shared" si="11"/>
        <v>0</v>
      </c>
      <c r="Q46" s="609"/>
      <c r="R46" s="610"/>
      <c r="S46" s="611"/>
      <c r="T46" s="311">
        <f t="shared" si="15"/>
        <v>0</v>
      </c>
      <c r="U46" s="312">
        <f t="shared" si="16"/>
        <v>0</v>
      </c>
      <c r="V46" s="138"/>
      <c r="W46" s="138"/>
      <c r="X46" s="138"/>
      <c r="Y46" s="138"/>
      <c r="Z46" s="138"/>
      <c r="AA46" s="139"/>
    </row>
    <row r="47" spans="1:27" s="140" customFormat="1" ht="18.95" customHeight="1">
      <c r="A47" s="587" t="s">
        <v>117</v>
      </c>
      <c r="B47" s="454"/>
      <c r="C47" s="455"/>
      <c r="D47" s="456"/>
      <c r="E47" s="602"/>
      <c r="F47" s="603"/>
      <c r="G47" s="771"/>
      <c r="H47" s="605">
        <f t="shared" si="1"/>
        <v>0</v>
      </c>
      <c r="I47" s="381"/>
      <c r="J47" s="382"/>
      <c r="K47" s="606"/>
      <c r="L47" s="607"/>
      <c r="M47" s="604"/>
      <c r="N47" s="603"/>
      <c r="O47" s="800"/>
      <c r="P47" s="608">
        <f t="shared" si="11"/>
        <v>0</v>
      </c>
      <c r="Q47" s="609"/>
      <c r="R47" s="610"/>
      <c r="S47" s="611"/>
      <c r="T47" s="311"/>
      <c r="U47" s="312"/>
      <c r="V47" s="138"/>
      <c r="W47" s="138"/>
      <c r="X47" s="138"/>
      <c r="Y47" s="138"/>
      <c r="Z47" s="138"/>
      <c r="AA47" s="139"/>
    </row>
    <row r="48" spans="1:27" s="140" customFormat="1" ht="18.95" customHeight="1">
      <c r="A48" s="587" t="s">
        <v>77</v>
      </c>
      <c r="B48" s="454">
        <v>35</v>
      </c>
      <c r="C48" s="455">
        <v>88</v>
      </c>
      <c r="D48" s="601">
        <v>88</v>
      </c>
      <c r="E48" s="602">
        <v>1</v>
      </c>
      <c r="F48" s="603">
        <v>12</v>
      </c>
      <c r="G48" s="771">
        <v>32</v>
      </c>
      <c r="H48" s="605">
        <f t="shared" si="1"/>
        <v>13</v>
      </c>
      <c r="I48" s="381">
        <f t="shared" si="10"/>
        <v>35.285714285714285</v>
      </c>
      <c r="J48" s="382">
        <f t="shared" si="12"/>
        <v>14.636363636363635</v>
      </c>
      <c r="K48" s="606">
        <f t="shared" si="7"/>
        <v>14.772727272727273</v>
      </c>
      <c r="L48" s="607">
        <f>3+2</f>
        <v>5</v>
      </c>
      <c r="M48" s="604">
        <f>14+1-2</f>
        <v>13</v>
      </c>
      <c r="N48" s="603">
        <f>4-1</f>
        <v>3</v>
      </c>
      <c r="O48" s="800">
        <v>3</v>
      </c>
      <c r="P48" s="608">
        <f t="shared" si="11"/>
        <v>24</v>
      </c>
      <c r="Q48" s="609"/>
      <c r="R48" s="610">
        <f t="shared" ref="R48:R54" si="17">(P48-L48)/C48*100</f>
        <v>21.59090909090909</v>
      </c>
      <c r="S48" s="611">
        <f t="shared" ref="S48:S53" si="18">(P48-L48)/D48*100</f>
        <v>21.59090909090909</v>
      </c>
      <c r="T48" s="311">
        <f t="shared" si="15"/>
        <v>13</v>
      </c>
      <c r="U48" s="312">
        <f t="shared" si="16"/>
        <v>75</v>
      </c>
      <c r="V48" s="138"/>
      <c r="W48" s="138"/>
      <c r="X48" s="138"/>
      <c r="Y48" s="138"/>
      <c r="Z48" s="138"/>
      <c r="AA48" s="139"/>
    </row>
    <row r="49" spans="1:27" s="140" customFormat="1" ht="18.95" customHeight="1">
      <c r="A49" s="612" t="s">
        <v>78</v>
      </c>
      <c r="B49" s="454">
        <v>43</v>
      </c>
      <c r="C49" s="455">
        <v>89</v>
      </c>
      <c r="D49" s="601">
        <v>89</v>
      </c>
      <c r="E49" s="602">
        <v>20</v>
      </c>
      <c r="F49" s="603">
        <v>40</v>
      </c>
      <c r="G49" s="771">
        <v>20</v>
      </c>
      <c r="H49" s="605">
        <f t="shared" si="1"/>
        <v>60</v>
      </c>
      <c r="I49" s="381">
        <f t="shared" si="10"/>
        <v>113.02325581395348</v>
      </c>
      <c r="J49" s="382">
        <f t="shared" si="12"/>
        <v>64.943820224719104</v>
      </c>
      <c r="K49" s="606">
        <f t="shared" si="7"/>
        <v>67.415730337078656</v>
      </c>
      <c r="L49" s="607">
        <f>1+1</f>
        <v>2</v>
      </c>
      <c r="M49" s="604">
        <f>2-1</f>
        <v>1</v>
      </c>
      <c r="N49" s="603"/>
      <c r="O49" s="800">
        <v>2</v>
      </c>
      <c r="P49" s="608">
        <f t="shared" si="11"/>
        <v>5</v>
      </c>
      <c r="Q49" s="609"/>
      <c r="R49" s="610">
        <f t="shared" si="17"/>
        <v>3.3707865168539324</v>
      </c>
      <c r="S49" s="611">
        <f t="shared" si="18"/>
        <v>3.3707865168539324</v>
      </c>
      <c r="T49" s="311">
        <f t="shared" si="15"/>
        <v>60</v>
      </c>
      <c r="U49" s="312">
        <f t="shared" si="16"/>
        <v>29</v>
      </c>
      <c r="V49" s="138"/>
      <c r="W49" s="138"/>
      <c r="X49" s="138"/>
      <c r="Y49" s="138"/>
      <c r="Z49" s="138"/>
      <c r="AA49" s="139"/>
    </row>
    <row r="50" spans="1:27" s="140" customFormat="1" ht="18.95" customHeight="1">
      <c r="A50" s="613" t="s">
        <v>79</v>
      </c>
      <c r="B50" s="454">
        <v>112</v>
      </c>
      <c r="C50" s="455">
        <v>69</v>
      </c>
      <c r="D50" s="601">
        <v>69</v>
      </c>
      <c r="E50" s="602">
        <v>19</v>
      </c>
      <c r="F50" s="603">
        <v>8</v>
      </c>
      <c r="G50" s="771">
        <v>11</v>
      </c>
      <c r="H50" s="605">
        <f t="shared" si="1"/>
        <v>27</v>
      </c>
      <c r="I50" s="381">
        <f t="shared" si="10"/>
        <v>26.142857142857142</v>
      </c>
      <c r="J50" s="382">
        <f t="shared" si="12"/>
        <v>30.594202898550726</v>
      </c>
      <c r="K50" s="606">
        <f t="shared" si="7"/>
        <v>39.130434782608695</v>
      </c>
      <c r="L50" s="607">
        <f>30+17</f>
        <v>47</v>
      </c>
      <c r="M50" s="604">
        <f>30+4-17</f>
        <v>17</v>
      </c>
      <c r="N50" s="603">
        <f>6+1-4</f>
        <v>3</v>
      </c>
      <c r="O50" s="800">
        <f>4-1</f>
        <v>3</v>
      </c>
      <c r="P50" s="608">
        <f t="shared" si="11"/>
        <v>70</v>
      </c>
      <c r="Q50" s="609"/>
      <c r="R50" s="610">
        <f t="shared" si="17"/>
        <v>33.333333333333329</v>
      </c>
      <c r="S50" s="611">
        <f t="shared" si="18"/>
        <v>33.333333333333329</v>
      </c>
      <c r="T50" s="311">
        <f t="shared" si="15"/>
        <v>27</v>
      </c>
      <c r="U50" s="312">
        <f t="shared" si="16"/>
        <v>42</v>
      </c>
      <c r="V50" s="138"/>
      <c r="W50" s="138"/>
      <c r="X50" s="138"/>
      <c r="Y50" s="138"/>
      <c r="Z50" s="138"/>
      <c r="AA50" s="139"/>
    </row>
    <row r="51" spans="1:27" s="140" customFormat="1" ht="18.95" customHeight="1">
      <c r="A51" s="612" t="s">
        <v>80</v>
      </c>
      <c r="B51" s="454">
        <v>53</v>
      </c>
      <c r="C51" s="455">
        <v>91</v>
      </c>
      <c r="D51" s="601">
        <v>91</v>
      </c>
      <c r="E51" s="602">
        <v>40</v>
      </c>
      <c r="F51" s="603">
        <v>30</v>
      </c>
      <c r="G51" s="771">
        <v>9</v>
      </c>
      <c r="H51" s="605">
        <f t="shared" si="1"/>
        <v>70</v>
      </c>
      <c r="I51" s="381">
        <f t="shared" si="10"/>
        <v>96.603773584905667</v>
      </c>
      <c r="J51" s="382">
        <f t="shared" si="12"/>
        <v>72.967032967032964</v>
      </c>
      <c r="K51" s="606">
        <f t="shared" si="7"/>
        <v>76.923076923076934</v>
      </c>
      <c r="L51" s="607">
        <v>2</v>
      </c>
      <c r="M51" s="604">
        <v>1</v>
      </c>
      <c r="N51" s="603">
        <v>5</v>
      </c>
      <c r="O51" s="800"/>
      <c r="P51" s="608">
        <f t="shared" si="11"/>
        <v>8</v>
      </c>
      <c r="Q51" s="609"/>
      <c r="R51" s="610">
        <f t="shared" si="17"/>
        <v>6.593406593406594</v>
      </c>
      <c r="S51" s="611">
        <f t="shared" si="18"/>
        <v>6.593406593406594</v>
      </c>
      <c r="T51" s="311">
        <f t="shared" si="15"/>
        <v>70</v>
      </c>
      <c r="U51" s="312">
        <f t="shared" si="16"/>
        <v>21</v>
      </c>
      <c r="V51" s="138"/>
      <c r="W51" s="138"/>
      <c r="X51" s="138"/>
      <c r="Y51" s="138"/>
      <c r="Z51" s="138"/>
      <c r="AA51" s="139"/>
    </row>
    <row r="52" spans="1:27" s="140" customFormat="1" ht="18.95" customHeight="1">
      <c r="A52" s="612" t="s">
        <v>81</v>
      </c>
      <c r="B52" s="454">
        <v>81</v>
      </c>
      <c r="C52" s="455">
        <v>180</v>
      </c>
      <c r="D52" s="601">
        <v>180</v>
      </c>
      <c r="E52" s="602">
        <v>17</v>
      </c>
      <c r="F52" s="603">
        <v>35</v>
      </c>
      <c r="G52" s="771">
        <v>28</v>
      </c>
      <c r="H52" s="605">
        <f t="shared" si="1"/>
        <v>52</v>
      </c>
      <c r="I52" s="381">
        <f t="shared" si="10"/>
        <v>60.209876543209873</v>
      </c>
      <c r="J52" s="382">
        <f t="shared" si="12"/>
        <v>36.444444444444443</v>
      </c>
      <c r="K52" s="606">
        <f t="shared" si="7"/>
        <v>28.888888888888886</v>
      </c>
      <c r="L52" s="607">
        <v>3</v>
      </c>
      <c r="M52" s="604">
        <v>1</v>
      </c>
      <c r="N52" s="603"/>
      <c r="O52" s="800"/>
      <c r="P52" s="608">
        <f t="shared" si="11"/>
        <v>4</v>
      </c>
      <c r="Q52" s="609"/>
      <c r="R52" s="610">
        <f t="shared" si="17"/>
        <v>0.55555555555555558</v>
      </c>
      <c r="S52" s="611">
        <f t="shared" si="18"/>
        <v>0.55555555555555558</v>
      </c>
      <c r="T52" s="311">
        <f t="shared" si="15"/>
        <v>52</v>
      </c>
      <c r="U52" s="312">
        <f t="shared" si="16"/>
        <v>128</v>
      </c>
      <c r="V52" s="138"/>
      <c r="W52" s="138"/>
      <c r="X52" s="138"/>
      <c r="Y52" s="138"/>
      <c r="Z52" s="138"/>
      <c r="AA52" s="139"/>
    </row>
    <row r="53" spans="1:27" s="140" customFormat="1" ht="18.95" customHeight="1">
      <c r="A53" s="612" t="s">
        <v>82</v>
      </c>
      <c r="B53" s="454">
        <v>24</v>
      </c>
      <c r="C53" s="455">
        <v>90</v>
      </c>
      <c r="D53" s="601">
        <v>90</v>
      </c>
      <c r="E53" s="602">
        <v>10</v>
      </c>
      <c r="F53" s="603">
        <v>13</v>
      </c>
      <c r="G53" s="771">
        <v>19</v>
      </c>
      <c r="H53" s="605">
        <f t="shared" si="1"/>
        <v>23</v>
      </c>
      <c r="I53" s="381">
        <f t="shared" si="10"/>
        <v>64.166666666666657</v>
      </c>
      <c r="J53" s="382">
        <f t="shared" si="12"/>
        <v>24.444444444444443</v>
      </c>
      <c r="K53" s="606">
        <f t="shared" si="7"/>
        <v>25.555555555555554</v>
      </c>
      <c r="L53" s="607">
        <f>2+1</f>
        <v>3</v>
      </c>
      <c r="M53" s="604">
        <f>16+1-1</f>
        <v>16</v>
      </c>
      <c r="N53" s="603">
        <f>2+1-1</f>
        <v>2</v>
      </c>
      <c r="O53" s="800">
        <f>5+1-1</f>
        <v>5</v>
      </c>
      <c r="P53" s="608">
        <f t="shared" si="11"/>
        <v>26</v>
      </c>
      <c r="Q53" s="609"/>
      <c r="R53" s="610">
        <f t="shared" si="17"/>
        <v>25.555555555555554</v>
      </c>
      <c r="S53" s="611">
        <f t="shared" si="18"/>
        <v>25.555555555555554</v>
      </c>
      <c r="T53" s="311">
        <f t="shared" si="15"/>
        <v>23</v>
      </c>
      <c r="U53" s="312">
        <f t="shared" si="16"/>
        <v>67</v>
      </c>
      <c r="V53" s="138"/>
      <c r="W53" s="138"/>
      <c r="X53" s="138"/>
      <c r="Y53" s="138"/>
      <c r="Z53" s="138"/>
      <c r="AA53" s="139"/>
    </row>
    <row r="54" spans="1:27" s="140" customFormat="1" ht="18.95" customHeight="1">
      <c r="A54" s="587" t="s">
        <v>83</v>
      </c>
      <c r="B54" s="454">
        <v>10</v>
      </c>
      <c r="C54" s="455">
        <v>45</v>
      </c>
      <c r="D54" s="601">
        <v>45</v>
      </c>
      <c r="E54" s="602"/>
      <c r="F54" s="603">
        <v>3</v>
      </c>
      <c r="G54" s="771">
        <v>3</v>
      </c>
      <c r="H54" s="605">
        <f t="shared" si="1"/>
        <v>3</v>
      </c>
      <c r="I54" s="381"/>
      <c r="J54" s="382">
        <f t="shared" si="12"/>
        <v>6.666666666666667</v>
      </c>
      <c r="K54" s="606">
        <f t="shared" si="7"/>
        <v>6.666666666666667</v>
      </c>
      <c r="L54" s="607">
        <f>4+4</f>
        <v>8</v>
      </c>
      <c r="M54" s="604">
        <f>18+2-4</f>
        <v>16</v>
      </c>
      <c r="N54" s="603">
        <f>3-2</f>
        <v>1</v>
      </c>
      <c r="O54" s="800"/>
      <c r="P54" s="608">
        <f t="shared" si="11"/>
        <v>25</v>
      </c>
      <c r="Q54" s="609"/>
      <c r="R54" s="610">
        <f t="shared" si="17"/>
        <v>37.777777777777779</v>
      </c>
      <c r="S54" s="611">
        <f>(P54-L54)/D54*100</f>
        <v>37.777777777777779</v>
      </c>
      <c r="T54" s="311"/>
      <c r="U54" s="312"/>
      <c r="V54" s="138"/>
      <c r="W54" s="138"/>
      <c r="X54" s="138"/>
      <c r="Y54" s="138"/>
      <c r="Z54" s="138"/>
      <c r="AA54" s="139"/>
    </row>
    <row r="55" spans="1:27" s="140" customFormat="1" ht="18.95" customHeight="1">
      <c r="A55" s="614" t="s">
        <v>84</v>
      </c>
      <c r="B55" s="454"/>
      <c r="C55" s="455"/>
      <c r="D55" s="601"/>
      <c r="E55" s="602"/>
      <c r="F55" s="603"/>
      <c r="G55" s="771"/>
      <c r="H55" s="605">
        <f t="shared" si="1"/>
        <v>0</v>
      </c>
      <c r="I55" s="381"/>
      <c r="J55" s="382"/>
      <c r="K55" s="606"/>
      <c r="L55" s="607"/>
      <c r="M55" s="604"/>
      <c r="N55" s="603"/>
      <c r="O55" s="800"/>
      <c r="P55" s="608">
        <f t="shared" si="11"/>
        <v>0</v>
      </c>
      <c r="Q55" s="609"/>
      <c r="R55" s="610"/>
      <c r="S55" s="611"/>
      <c r="T55" s="311">
        <f t="shared" si="15"/>
        <v>0</v>
      </c>
      <c r="U55" s="312">
        <f t="shared" si="16"/>
        <v>0</v>
      </c>
      <c r="V55" s="138"/>
      <c r="W55" s="138"/>
      <c r="X55" s="138"/>
      <c r="Y55" s="138"/>
      <c r="Z55" s="138"/>
      <c r="AA55" s="139"/>
    </row>
    <row r="56" spans="1:27" s="140" customFormat="1" ht="18.95" customHeight="1">
      <c r="A56" s="614" t="s">
        <v>85</v>
      </c>
      <c r="B56" s="454"/>
      <c r="C56" s="615"/>
      <c r="D56" s="456"/>
      <c r="E56" s="457"/>
      <c r="F56" s="458"/>
      <c r="G56" s="762"/>
      <c r="H56" s="460">
        <f t="shared" si="1"/>
        <v>0</v>
      </c>
      <c r="I56" s="381"/>
      <c r="J56" s="382"/>
      <c r="K56" s="606"/>
      <c r="L56" s="462"/>
      <c r="M56" s="459"/>
      <c r="N56" s="458"/>
      <c r="O56" s="790"/>
      <c r="P56" s="463">
        <f t="shared" si="11"/>
        <v>0</v>
      </c>
      <c r="Q56" s="609"/>
      <c r="R56" s="610"/>
      <c r="S56" s="611"/>
      <c r="T56" s="311">
        <f t="shared" si="15"/>
        <v>0</v>
      </c>
      <c r="U56" s="312">
        <f t="shared" si="16"/>
        <v>0</v>
      </c>
      <c r="V56" s="138"/>
      <c r="W56" s="138"/>
      <c r="X56" s="138"/>
      <c r="Y56" s="138"/>
      <c r="Z56" s="138"/>
      <c r="AA56" s="139"/>
    </row>
    <row r="57" spans="1:27" s="140" customFormat="1" ht="18.95" customHeight="1">
      <c r="A57" s="614" t="s">
        <v>86</v>
      </c>
      <c r="B57" s="454"/>
      <c r="C57" s="615"/>
      <c r="D57" s="456"/>
      <c r="E57" s="457"/>
      <c r="F57" s="458"/>
      <c r="G57" s="762"/>
      <c r="H57" s="460">
        <f t="shared" si="1"/>
        <v>0</v>
      </c>
      <c r="I57" s="381"/>
      <c r="J57" s="382"/>
      <c r="K57" s="606"/>
      <c r="L57" s="462"/>
      <c r="M57" s="459"/>
      <c r="N57" s="458"/>
      <c r="O57" s="790"/>
      <c r="P57" s="463">
        <f t="shared" si="11"/>
        <v>0</v>
      </c>
      <c r="Q57" s="609"/>
      <c r="R57" s="610"/>
      <c r="S57" s="611"/>
      <c r="T57" s="311">
        <f t="shared" si="15"/>
        <v>0</v>
      </c>
      <c r="U57" s="312">
        <f t="shared" si="16"/>
        <v>0</v>
      </c>
      <c r="V57" s="138"/>
      <c r="W57" s="138"/>
      <c r="X57" s="138"/>
      <c r="Y57" s="138"/>
      <c r="Z57" s="138"/>
      <c r="AA57" s="139"/>
    </row>
    <row r="58" spans="1:27" s="140" customFormat="1" ht="18.95" customHeight="1">
      <c r="A58" s="614" t="s">
        <v>87</v>
      </c>
      <c r="B58" s="454"/>
      <c r="C58" s="615"/>
      <c r="D58" s="456"/>
      <c r="E58" s="457"/>
      <c r="F58" s="458"/>
      <c r="G58" s="762"/>
      <c r="H58" s="460">
        <f t="shared" si="1"/>
        <v>0</v>
      </c>
      <c r="I58" s="381"/>
      <c r="J58" s="382"/>
      <c r="K58" s="606"/>
      <c r="L58" s="462"/>
      <c r="M58" s="459"/>
      <c r="N58" s="458"/>
      <c r="O58" s="790"/>
      <c r="P58" s="463">
        <f t="shared" si="11"/>
        <v>0</v>
      </c>
      <c r="Q58" s="609"/>
      <c r="R58" s="610"/>
      <c r="S58" s="611"/>
      <c r="T58" s="311">
        <f t="shared" si="15"/>
        <v>0</v>
      </c>
      <c r="U58" s="312">
        <f t="shared" si="16"/>
        <v>0</v>
      </c>
      <c r="V58" s="138"/>
      <c r="W58" s="138"/>
      <c r="X58" s="138"/>
      <c r="Y58" s="138"/>
      <c r="Z58" s="138"/>
      <c r="AA58" s="139"/>
    </row>
    <row r="59" spans="1:27" s="140" customFormat="1" ht="18.95" customHeight="1">
      <c r="A59" s="614" t="s">
        <v>88</v>
      </c>
      <c r="B59" s="454"/>
      <c r="C59" s="615"/>
      <c r="D59" s="456"/>
      <c r="E59" s="457"/>
      <c r="F59" s="458"/>
      <c r="G59" s="762"/>
      <c r="H59" s="460">
        <f t="shared" si="1"/>
        <v>0</v>
      </c>
      <c r="I59" s="616"/>
      <c r="J59" s="617"/>
      <c r="K59" s="461"/>
      <c r="L59" s="462"/>
      <c r="M59" s="459"/>
      <c r="N59" s="458"/>
      <c r="O59" s="790"/>
      <c r="P59" s="463">
        <f t="shared" si="11"/>
        <v>0</v>
      </c>
      <c r="Q59" s="548"/>
      <c r="R59" s="465"/>
      <c r="S59" s="549"/>
      <c r="T59" s="311">
        <f t="shared" si="15"/>
        <v>0</v>
      </c>
      <c r="U59" s="312">
        <f t="shared" si="16"/>
        <v>0</v>
      </c>
      <c r="V59" s="138"/>
      <c r="W59" s="138"/>
      <c r="X59" s="138"/>
      <c r="Y59" s="138"/>
      <c r="Z59" s="138"/>
      <c r="AA59" s="139"/>
    </row>
    <row r="60" spans="1:27" s="140" customFormat="1" ht="18.95" customHeight="1">
      <c r="A60" s="618" t="s">
        <v>118</v>
      </c>
      <c r="B60" s="619"/>
      <c r="C60" s="620"/>
      <c r="D60" s="621">
        <v>83</v>
      </c>
      <c r="E60" s="622"/>
      <c r="F60" s="623">
        <v>31</v>
      </c>
      <c r="G60" s="762">
        <v>24</v>
      </c>
      <c r="H60" s="625">
        <f t="shared" si="1"/>
        <v>31</v>
      </c>
      <c r="I60" s="626"/>
      <c r="J60" s="627"/>
      <c r="K60" s="628">
        <f>(E60+F60)/D60*100</f>
        <v>37.349397590361441</v>
      </c>
      <c r="L60" s="629">
        <v>1</v>
      </c>
      <c r="M60" s="624">
        <v>3</v>
      </c>
      <c r="N60" s="623">
        <f>1+1</f>
        <v>2</v>
      </c>
      <c r="O60" s="790">
        <f>2-1</f>
        <v>1</v>
      </c>
      <c r="P60" s="630">
        <f t="shared" si="11"/>
        <v>7</v>
      </c>
      <c r="Q60" s="631"/>
      <c r="R60" s="632"/>
      <c r="S60" s="611">
        <f>(P60-L60)/D60*100</f>
        <v>7.2289156626506017</v>
      </c>
      <c r="T60" s="633" t="s">
        <v>119</v>
      </c>
      <c r="U60" s="312"/>
      <c r="V60" s="138"/>
      <c r="W60" s="138"/>
      <c r="X60" s="138"/>
      <c r="Y60" s="138"/>
      <c r="Z60" s="138"/>
      <c r="AA60" s="139"/>
    </row>
    <row r="61" spans="1:27" s="438" customFormat="1" ht="18.95" customHeight="1" thickBot="1">
      <c r="A61" s="634" t="s">
        <v>12</v>
      </c>
      <c r="B61" s="635">
        <f>SUM(B30:B59)</f>
        <v>2709</v>
      </c>
      <c r="C61" s="636">
        <f>SUM(C30:C59)</f>
        <v>2352</v>
      </c>
      <c r="D61" s="424">
        <f>SUM(D30:D59)</f>
        <v>2352</v>
      </c>
      <c r="E61" s="635">
        <f>SUM(E30:E60)</f>
        <v>453</v>
      </c>
      <c r="F61" s="637">
        <f>SUM(F30:F60)</f>
        <v>719</v>
      </c>
      <c r="G61" s="760">
        <f>SUM(G30:G60)</f>
        <v>518</v>
      </c>
      <c r="H61" s="426">
        <f t="shared" si="1"/>
        <v>1172</v>
      </c>
      <c r="I61" s="635">
        <f>E61+F61/B61*100</f>
        <v>479.54115909929862</v>
      </c>
      <c r="J61" s="637">
        <f>E61+F61/C61*100</f>
        <v>483.56972789115645</v>
      </c>
      <c r="K61" s="428">
        <f t="shared" si="7"/>
        <v>49.829931972789119</v>
      </c>
      <c r="L61" s="639">
        <f>SUM(L30:L60)</f>
        <v>364</v>
      </c>
      <c r="M61" s="640">
        <f>SUM(M30:M60)</f>
        <v>233</v>
      </c>
      <c r="N61" s="641">
        <f>SUM(N30:N60)</f>
        <v>63</v>
      </c>
      <c r="O61" s="788">
        <f>SUM(O30:O60)</f>
        <v>48</v>
      </c>
      <c r="P61" s="432">
        <f>SUM(P30:P60)</f>
        <v>708</v>
      </c>
      <c r="Q61" s="642">
        <f>P61/B61*100</f>
        <v>26.135105204872644</v>
      </c>
      <c r="R61" s="643">
        <f>(P61-L61)/C61*100</f>
        <v>14.625850340136054</v>
      </c>
      <c r="S61" s="644">
        <f>(P61)/D61*100</f>
        <v>30.102040816326532</v>
      </c>
      <c r="T61" s="434"/>
      <c r="U61" s="435"/>
      <c r="V61" s="436"/>
      <c r="W61" s="436"/>
      <c r="X61" s="436"/>
      <c r="Y61" s="436"/>
      <c r="Z61" s="436"/>
      <c r="AA61" s="437"/>
    </row>
    <row r="62" spans="1:27" ht="18.95" customHeight="1">
      <c r="A62" s="519" t="s">
        <v>13</v>
      </c>
      <c r="B62" s="520"/>
      <c r="C62" s="521"/>
      <c r="D62" s="522"/>
      <c r="E62" s="523"/>
      <c r="F62" s="524"/>
      <c r="G62" s="766"/>
      <c r="H62" s="526">
        <f t="shared" si="1"/>
        <v>0</v>
      </c>
      <c r="I62" s="527"/>
      <c r="J62" s="524"/>
      <c r="K62" s="528"/>
      <c r="L62" s="527"/>
      <c r="M62" s="525"/>
      <c r="N62" s="524"/>
      <c r="O62" s="794"/>
      <c r="P62" s="529">
        <f t="shared" ref="P62:P70" si="19">SUM(L62:O62)</f>
        <v>0</v>
      </c>
      <c r="Q62" s="530"/>
      <c r="R62" s="531"/>
      <c r="S62" s="532"/>
      <c r="T62" s="304" t="s">
        <v>35</v>
      </c>
      <c r="U62" s="304" t="s">
        <v>36</v>
      </c>
      <c r="V62" s="93"/>
      <c r="W62" s="93"/>
      <c r="X62" s="93"/>
      <c r="Y62" s="93"/>
      <c r="Z62" s="93"/>
    </row>
    <row r="63" spans="1:27" ht="18.95" customHeight="1">
      <c r="A63" s="358" t="s">
        <v>120</v>
      </c>
      <c r="B63" s="550">
        <v>80</v>
      </c>
      <c r="C63" s="645">
        <v>80</v>
      </c>
      <c r="D63" s="552">
        <v>80</v>
      </c>
      <c r="E63" s="553"/>
      <c r="F63" s="554">
        <v>72</v>
      </c>
      <c r="G63" s="768">
        <v>4</v>
      </c>
      <c r="H63" s="556">
        <f t="shared" si="1"/>
        <v>72</v>
      </c>
      <c r="I63" s="365">
        <f>E63+F63/B63*100</f>
        <v>90</v>
      </c>
      <c r="J63" s="382">
        <f>E63+F63/C63*100</f>
        <v>90</v>
      </c>
      <c r="K63" s="557">
        <f t="shared" si="7"/>
        <v>90</v>
      </c>
      <c r="L63" s="646">
        <v>0</v>
      </c>
      <c r="M63" s="647">
        <v>0</v>
      </c>
      <c r="N63" s="648">
        <v>0</v>
      </c>
      <c r="O63" s="801">
        <v>0</v>
      </c>
      <c r="P63" s="559">
        <v>0</v>
      </c>
      <c r="Q63" s="649">
        <f>P63/B63*100</f>
        <v>0</v>
      </c>
      <c r="R63" s="650">
        <f>(P63-L63)/C63*100</f>
        <v>0</v>
      </c>
      <c r="S63" s="546">
        <f>(P63-L63)/D63*100</f>
        <v>0</v>
      </c>
      <c r="T63" s="307">
        <f t="shared" ref="T63:T71" si="20">SUM(E63:F63)</f>
        <v>72</v>
      </c>
      <c r="U63" s="309">
        <f t="shared" ref="U63:U69" si="21">+C63-T63</f>
        <v>8</v>
      </c>
      <c r="V63" s="93"/>
      <c r="W63" s="93"/>
      <c r="X63" s="93"/>
      <c r="Y63" s="93"/>
      <c r="Z63" s="93"/>
    </row>
    <row r="64" spans="1:27" s="438" customFormat="1" ht="18.95" customHeight="1" thickBot="1">
      <c r="A64" s="634" t="s">
        <v>14</v>
      </c>
      <c r="B64" s="635">
        <f t="shared" ref="B64:G64" si="22">SUM(B63)</f>
        <v>80</v>
      </c>
      <c r="C64" s="636">
        <f t="shared" si="22"/>
        <v>80</v>
      </c>
      <c r="D64" s="424">
        <f t="shared" si="22"/>
        <v>80</v>
      </c>
      <c r="E64" s="635">
        <f t="shared" si="22"/>
        <v>0</v>
      </c>
      <c r="F64" s="637">
        <f t="shared" si="22"/>
        <v>72</v>
      </c>
      <c r="G64" s="760">
        <f t="shared" si="22"/>
        <v>4</v>
      </c>
      <c r="H64" s="426">
        <f t="shared" si="1"/>
        <v>72</v>
      </c>
      <c r="I64" s="651">
        <f>+I63</f>
        <v>90</v>
      </c>
      <c r="J64" s="652">
        <f>+J63</f>
        <v>90</v>
      </c>
      <c r="K64" s="428">
        <f t="shared" si="7"/>
        <v>90</v>
      </c>
      <c r="L64" s="639"/>
      <c r="M64" s="640"/>
      <c r="N64" s="641"/>
      <c r="O64" s="788"/>
      <c r="P64" s="432">
        <f t="shared" si="19"/>
        <v>0</v>
      </c>
      <c r="Q64" s="642"/>
      <c r="R64" s="643"/>
      <c r="S64" s="644">
        <v>0</v>
      </c>
      <c r="T64" s="434">
        <f t="shared" si="20"/>
        <v>72</v>
      </c>
      <c r="U64" s="435">
        <f t="shared" si="21"/>
        <v>8</v>
      </c>
      <c r="V64" s="436"/>
      <c r="W64" s="436"/>
      <c r="X64" s="436"/>
      <c r="Y64" s="436"/>
      <c r="Z64" s="436"/>
      <c r="AA64" s="437"/>
    </row>
    <row r="65" spans="1:29" ht="18.95" customHeight="1">
      <c r="A65" s="519" t="s">
        <v>121</v>
      </c>
      <c r="B65" s="653"/>
      <c r="C65" s="654"/>
      <c r="D65" s="655"/>
      <c r="E65" s="656"/>
      <c r="F65" s="657"/>
      <c r="G65" s="772"/>
      <c r="H65" s="659">
        <f t="shared" si="1"/>
        <v>0</v>
      </c>
      <c r="I65" s="660"/>
      <c r="J65" s="661"/>
      <c r="K65" s="662"/>
      <c r="L65" s="663"/>
      <c r="M65" s="658"/>
      <c r="N65" s="657"/>
      <c r="O65" s="802"/>
      <c r="P65" s="664">
        <f t="shared" si="19"/>
        <v>0</v>
      </c>
      <c r="Q65" s="665"/>
      <c r="R65" s="666"/>
      <c r="S65" s="667"/>
      <c r="T65" s="307"/>
      <c r="U65" s="309"/>
      <c r="V65" s="93"/>
      <c r="W65" s="93"/>
      <c r="X65" s="93"/>
      <c r="Y65" s="93"/>
      <c r="Z65" s="93"/>
    </row>
    <row r="66" spans="1:29" ht="18.95" customHeight="1">
      <c r="A66" s="668" t="s">
        <v>56</v>
      </c>
      <c r="B66" s="669">
        <v>323</v>
      </c>
      <c r="C66" s="670"/>
      <c r="D66" s="671"/>
      <c r="E66" s="672"/>
      <c r="F66" s="673"/>
      <c r="G66" s="773"/>
      <c r="H66" s="675">
        <f t="shared" si="1"/>
        <v>0</v>
      </c>
      <c r="I66" s="676">
        <f>E66+F66/B66*100</f>
        <v>0</v>
      </c>
      <c r="J66" s="512"/>
      <c r="K66" s="677"/>
      <c r="L66" s="678">
        <f>59+2</f>
        <v>61</v>
      </c>
      <c r="M66" s="674">
        <f>2-2</f>
        <v>0</v>
      </c>
      <c r="N66" s="673"/>
      <c r="O66" s="803"/>
      <c r="P66" s="679">
        <f t="shared" si="19"/>
        <v>61</v>
      </c>
      <c r="Q66" s="680">
        <f>P66/B66*100</f>
        <v>18.885448916408667</v>
      </c>
      <c r="R66" s="681"/>
      <c r="S66" s="682">
        <f>(P66)/B66*100</f>
        <v>18.885448916408667</v>
      </c>
      <c r="T66" s="307">
        <f t="shared" si="20"/>
        <v>0</v>
      </c>
      <c r="U66" s="309">
        <f t="shared" si="21"/>
        <v>0</v>
      </c>
      <c r="V66" s="93"/>
      <c r="W66" s="93"/>
      <c r="X66" s="93"/>
      <c r="Y66" s="93"/>
      <c r="Z66" s="93"/>
    </row>
    <row r="67" spans="1:29" ht="18.95" customHeight="1">
      <c r="A67" s="668" t="s">
        <v>57</v>
      </c>
      <c r="B67" s="454">
        <v>4</v>
      </c>
      <c r="C67" s="615">
        <v>142</v>
      </c>
      <c r="D67" s="456">
        <v>142</v>
      </c>
      <c r="E67" s="683"/>
      <c r="F67" s="684">
        <v>135</v>
      </c>
      <c r="G67" s="774">
        <v>2</v>
      </c>
      <c r="H67" s="686">
        <f t="shared" si="1"/>
        <v>135</v>
      </c>
      <c r="I67" s="687">
        <f>E67+F67/B67</f>
        <v>33.75</v>
      </c>
      <c r="J67" s="382">
        <f>E67+F67/C67*100</f>
        <v>95.070422535211264</v>
      </c>
      <c r="K67" s="688">
        <f t="shared" si="7"/>
        <v>95.070422535211264</v>
      </c>
      <c r="L67" s="689"/>
      <c r="M67" s="685">
        <v>4</v>
      </c>
      <c r="N67" s="684"/>
      <c r="O67" s="804">
        <v>1</v>
      </c>
      <c r="P67" s="690">
        <f t="shared" si="19"/>
        <v>5</v>
      </c>
      <c r="Q67" s="691"/>
      <c r="R67" s="692">
        <f>(P67-L67)/C67</f>
        <v>3.5211267605633804E-2</v>
      </c>
      <c r="S67" s="611" t="s">
        <v>99</v>
      </c>
      <c r="T67" s="307">
        <f t="shared" si="20"/>
        <v>135</v>
      </c>
      <c r="U67" s="309">
        <f t="shared" si="21"/>
        <v>7</v>
      </c>
      <c r="V67" s="93"/>
      <c r="W67" s="93"/>
      <c r="X67" s="93"/>
      <c r="Y67" s="93"/>
      <c r="Z67" s="93"/>
    </row>
    <row r="68" spans="1:29" ht="18.95" customHeight="1">
      <c r="A68" s="547" t="s">
        <v>58</v>
      </c>
      <c r="B68" s="454">
        <v>2</v>
      </c>
      <c r="C68" s="615">
        <v>111</v>
      </c>
      <c r="D68" s="456">
        <v>111</v>
      </c>
      <c r="E68" s="457"/>
      <c r="F68" s="458">
        <v>79</v>
      </c>
      <c r="G68" s="762">
        <v>14</v>
      </c>
      <c r="H68" s="460">
        <f t="shared" si="1"/>
        <v>79</v>
      </c>
      <c r="I68" s="693"/>
      <c r="J68" s="694">
        <f>E68+F68/C68*100</f>
        <v>71.171171171171167</v>
      </c>
      <c r="K68" s="461">
        <f t="shared" si="7"/>
        <v>71.171171171171167</v>
      </c>
      <c r="L68" s="462">
        <f>1+17</f>
        <v>18</v>
      </c>
      <c r="M68" s="459">
        <f>30+3-17</f>
        <v>16</v>
      </c>
      <c r="N68" s="458">
        <f>3-3</f>
        <v>0</v>
      </c>
      <c r="O68" s="790">
        <v>1</v>
      </c>
      <c r="P68" s="463">
        <f t="shared" si="19"/>
        <v>35</v>
      </c>
      <c r="Q68" s="548"/>
      <c r="R68" s="465">
        <f>(P68-L68)/C68*100</f>
        <v>15.315315315315313</v>
      </c>
      <c r="S68" s="549">
        <f>(P68-L68)/D68*100</f>
        <v>15.315315315315313</v>
      </c>
      <c r="T68" s="307">
        <f t="shared" si="20"/>
        <v>79</v>
      </c>
      <c r="U68" s="309">
        <f t="shared" si="21"/>
        <v>32</v>
      </c>
      <c r="V68" s="93"/>
      <c r="W68" s="93"/>
      <c r="X68" s="93"/>
      <c r="Y68" s="93"/>
      <c r="Z68" s="93"/>
    </row>
    <row r="69" spans="1:29" s="438" customFormat="1" ht="18.95" customHeight="1" thickBot="1">
      <c r="A69" s="634" t="s">
        <v>59</v>
      </c>
      <c r="B69" s="635">
        <f>SUM(B66:B68)</f>
        <v>329</v>
      </c>
      <c r="C69" s="636">
        <f>SUM(C67:C68)</f>
        <v>253</v>
      </c>
      <c r="D69" s="424">
        <f>SUM(D66:D68)</f>
        <v>253</v>
      </c>
      <c r="E69" s="635">
        <f>SUM(E66:E68)</f>
        <v>0</v>
      </c>
      <c r="F69" s="637">
        <f>SUM(F66:F68)</f>
        <v>214</v>
      </c>
      <c r="G69" s="760">
        <f>SUM(G67:G68)</f>
        <v>16</v>
      </c>
      <c r="H69" s="426">
        <f t="shared" si="1"/>
        <v>214</v>
      </c>
      <c r="I69" s="651">
        <f>E69+F69/B69*100</f>
        <v>65.045592705167181</v>
      </c>
      <c r="J69" s="652">
        <f>E69+F69/C69*100</f>
        <v>84.584980237154156</v>
      </c>
      <c r="K69" s="428">
        <f t="shared" si="7"/>
        <v>84.584980237154156</v>
      </c>
      <c r="L69" s="639">
        <f>SUM(L66:L68)</f>
        <v>79</v>
      </c>
      <c r="M69" s="640">
        <f>SUM(M66:M68)</f>
        <v>20</v>
      </c>
      <c r="N69" s="641">
        <f>SUM(N66:N68)</f>
        <v>0</v>
      </c>
      <c r="O69" s="788">
        <f>SUM(O66:O68)</f>
        <v>2</v>
      </c>
      <c r="P69" s="432">
        <f t="shared" si="19"/>
        <v>101</v>
      </c>
      <c r="Q69" s="642">
        <f>P69/B69*100</f>
        <v>30.69908814589666</v>
      </c>
      <c r="R69" s="643">
        <f>(P69-L69)/C69*100</f>
        <v>8.695652173913043</v>
      </c>
      <c r="S69" s="644">
        <f>(P69-L69)/D69*100</f>
        <v>8.695652173913043</v>
      </c>
      <c r="T69" s="434">
        <f t="shared" si="20"/>
        <v>214</v>
      </c>
      <c r="U69" s="435">
        <f t="shared" si="21"/>
        <v>39</v>
      </c>
      <c r="V69" s="436"/>
      <c r="W69" s="436"/>
      <c r="X69" s="436"/>
      <c r="Y69" s="436"/>
      <c r="Z69" s="436"/>
      <c r="AA69" s="437"/>
    </row>
    <row r="70" spans="1:29" ht="18.95" customHeight="1">
      <c r="A70" s="519" t="s">
        <v>122</v>
      </c>
      <c r="B70" s="520"/>
      <c r="C70" s="521"/>
      <c r="D70" s="522"/>
      <c r="E70" s="523"/>
      <c r="F70" s="524"/>
      <c r="G70" s="766"/>
      <c r="H70" s="526">
        <f t="shared" si="1"/>
        <v>0</v>
      </c>
      <c r="I70" s="695"/>
      <c r="J70" s="524"/>
      <c r="K70" s="528"/>
      <c r="L70" s="527"/>
      <c r="M70" s="525"/>
      <c r="N70" s="524"/>
      <c r="O70" s="794"/>
      <c r="P70" s="529">
        <f t="shared" si="19"/>
        <v>0</v>
      </c>
      <c r="Q70" s="530"/>
      <c r="R70" s="531"/>
      <c r="S70" s="532"/>
      <c r="T70" s="304" t="s">
        <v>35</v>
      </c>
      <c r="U70" s="309"/>
      <c r="V70" s="93"/>
      <c r="W70" s="93"/>
      <c r="X70" s="93"/>
      <c r="Y70" s="93"/>
      <c r="Z70" s="93"/>
    </row>
    <row r="71" spans="1:29" ht="18.95" customHeight="1">
      <c r="A71" s="696" t="s">
        <v>16</v>
      </c>
      <c r="B71" s="697">
        <v>80</v>
      </c>
      <c r="C71" s="698">
        <v>79</v>
      </c>
      <c r="D71" s="699">
        <v>80</v>
      </c>
      <c r="E71" s="700"/>
      <c r="F71" s="701">
        <v>76</v>
      </c>
      <c r="G71" s="775">
        <v>1</v>
      </c>
      <c r="H71" s="703">
        <f t="shared" si="1"/>
        <v>76</v>
      </c>
      <c r="I71" s="365">
        <f>E71+F71/B71*100</f>
        <v>95</v>
      </c>
      <c r="J71" s="382">
        <f>E71+F71/C71*100</f>
        <v>96.202531645569621</v>
      </c>
      <c r="K71" s="704">
        <f t="shared" si="7"/>
        <v>95</v>
      </c>
      <c r="L71" s="705">
        <v>1</v>
      </c>
      <c r="M71" s="702"/>
      <c r="N71" s="701"/>
      <c r="O71" s="805"/>
      <c r="P71" s="706">
        <f>SUM(L71:O71)</f>
        <v>1</v>
      </c>
      <c r="Q71" s="707">
        <f>P71/B71*100</f>
        <v>1.25</v>
      </c>
      <c r="R71" s="708">
        <f t="shared" ref="R71:R76" si="23">(P71-L71)/C71*100</f>
        <v>0</v>
      </c>
      <c r="S71" s="709">
        <f>(P71)/D71*100</f>
        <v>1.25</v>
      </c>
      <c r="T71" s="307">
        <f t="shared" si="20"/>
        <v>76</v>
      </c>
      <c r="U71" s="309"/>
      <c r="V71" s="93"/>
      <c r="W71" s="93"/>
      <c r="X71" s="93"/>
      <c r="Y71" s="93"/>
      <c r="Z71" s="93"/>
    </row>
    <row r="72" spans="1:29" s="713" customFormat="1" ht="18.95" customHeight="1" thickBot="1">
      <c r="A72" s="634" t="s">
        <v>17</v>
      </c>
      <c r="B72" s="710">
        <f t="shared" ref="B72:G72" si="24">SUM(B71)</f>
        <v>80</v>
      </c>
      <c r="C72" s="711">
        <f t="shared" si="24"/>
        <v>79</v>
      </c>
      <c r="D72" s="424">
        <f t="shared" si="24"/>
        <v>80</v>
      </c>
      <c r="E72" s="635">
        <f t="shared" si="24"/>
        <v>0</v>
      </c>
      <c r="F72" s="637">
        <f t="shared" si="24"/>
        <v>76</v>
      </c>
      <c r="G72" s="760">
        <f t="shared" si="24"/>
        <v>1</v>
      </c>
      <c r="H72" s="426">
        <f t="shared" ref="H72:H78" si="25">SUM(E72:F72)</f>
        <v>76</v>
      </c>
      <c r="I72" s="712">
        <f>E72+F72/B72*100</f>
        <v>95</v>
      </c>
      <c r="J72" s="652">
        <f>E72+F72/C72*100</f>
        <v>96.202531645569621</v>
      </c>
      <c r="K72" s="428">
        <f t="shared" si="7"/>
        <v>95</v>
      </c>
      <c r="L72" s="639">
        <f>SUM(L71)</f>
        <v>1</v>
      </c>
      <c r="M72" s="641">
        <f>SUM(M71)</f>
        <v>0</v>
      </c>
      <c r="N72" s="641">
        <f>SUM(N71)</f>
        <v>0</v>
      </c>
      <c r="O72" s="788">
        <f>SUM(O71)</f>
        <v>0</v>
      </c>
      <c r="P72" s="432">
        <f>SUM(P71)</f>
        <v>1</v>
      </c>
      <c r="Q72" s="642">
        <f>P72/B72*100</f>
        <v>1.25</v>
      </c>
      <c r="R72" s="643">
        <f t="shared" si="23"/>
        <v>0</v>
      </c>
      <c r="S72" s="644">
        <f>(P72)/D72*100</f>
        <v>1.25</v>
      </c>
      <c r="T72" s="434"/>
      <c r="U72" s="435"/>
      <c r="V72" s="436"/>
      <c r="W72" s="436"/>
      <c r="X72" s="436"/>
      <c r="Y72" s="436"/>
      <c r="Z72" s="436"/>
      <c r="AA72" s="437"/>
      <c r="AB72" s="438"/>
      <c r="AC72" s="438"/>
    </row>
    <row r="73" spans="1:29" ht="18.95" customHeight="1">
      <c r="A73" s="519" t="s">
        <v>123</v>
      </c>
      <c r="B73" s="520"/>
      <c r="C73" s="521"/>
      <c r="D73" s="522"/>
      <c r="E73" s="523"/>
      <c r="F73" s="524"/>
      <c r="G73" s="766"/>
      <c r="H73" s="526">
        <f t="shared" si="25"/>
        <v>0</v>
      </c>
      <c r="I73" s="695"/>
      <c r="J73" s="524"/>
      <c r="K73" s="528"/>
      <c r="L73" s="527"/>
      <c r="M73" s="525"/>
      <c r="N73" s="524"/>
      <c r="O73" s="794"/>
      <c r="P73" s="529">
        <f>SUM(L73:O73)</f>
        <v>0</v>
      </c>
      <c r="Q73" s="530"/>
      <c r="R73" s="531"/>
      <c r="S73" s="532"/>
      <c r="T73" s="304" t="s">
        <v>35</v>
      </c>
      <c r="U73" s="309"/>
      <c r="V73" s="93"/>
      <c r="W73" s="93"/>
      <c r="X73" s="93"/>
      <c r="Y73" s="93"/>
      <c r="Z73" s="93"/>
    </row>
    <row r="74" spans="1:29" ht="18.95" customHeight="1">
      <c r="A74" s="696" t="s">
        <v>124</v>
      </c>
      <c r="B74" s="697">
        <v>30</v>
      </c>
      <c r="C74" s="698">
        <v>29</v>
      </c>
      <c r="D74" s="699">
        <v>30</v>
      </c>
      <c r="E74" s="700"/>
      <c r="F74" s="701"/>
      <c r="G74" s="775"/>
      <c r="H74" s="703">
        <f t="shared" si="25"/>
        <v>0</v>
      </c>
      <c r="I74" s="365">
        <f>E74+F74/B74*100</f>
        <v>0</v>
      </c>
      <c r="J74" s="382">
        <f>E74+F74/C74*100</f>
        <v>0</v>
      </c>
      <c r="K74" s="704">
        <f>(E74+F74)/D74*100</f>
        <v>0</v>
      </c>
      <c r="L74" s="705">
        <v>1</v>
      </c>
      <c r="M74" s="702"/>
      <c r="N74" s="701"/>
      <c r="O74" s="805"/>
      <c r="P74" s="706">
        <f>SUM(L74:O74)</f>
        <v>1</v>
      </c>
      <c r="Q74" s="707">
        <f>P74/B74*100</f>
        <v>3.3333333333333335</v>
      </c>
      <c r="R74" s="708">
        <f>(P74-L74)/C74*100</f>
        <v>0</v>
      </c>
      <c r="S74" s="709">
        <f>(P74)/D74*100</f>
        <v>3.3333333333333335</v>
      </c>
      <c r="T74" s="307">
        <f>SUM(E74:F74)</f>
        <v>0</v>
      </c>
      <c r="U74" s="309"/>
      <c r="V74" s="93"/>
      <c r="W74" s="93"/>
      <c r="X74" s="93"/>
      <c r="Y74" s="93"/>
      <c r="Z74" s="93"/>
    </row>
    <row r="75" spans="1:29" s="713" customFormat="1" ht="18.95" customHeight="1" thickBot="1">
      <c r="A75" s="634" t="s">
        <v>125</v>
      </c>
      <c r="B75" s="710">
        <f t="shared" ref="B75:G75" si="26">SUM(B74)</f>
        <v>30</v>
      </c>
      <c r="C75" s="711">
        <f t="shared" si="26"/>
        <v>29</v>
      </c>
      <c r="D75" s="424">
        <f t="shared" si="26"/>
        <v>30</v>
      </c>
      <c r="E75" s="635">
        <f t="shared" si="26"/>
        <v>0</v>
      </c>
      <c r="F75" s="637">
        <f t="shared" si="26"/>
        <v>0</v>
      </c>
      <c r="G75" s="760">
        <f t="shared" si="26"/>
        <v>0</v>
      </c>
      <c r="H75" s="426">
        <f t="shared" si="25"/>
        <v>0</v>
      </c>
      <c r="I75" s="712">
        <f>E75+F75/B75*100</f>
        <v>0</v>
      </c>
      <c r="J75" s="652">
        <f>E75+F75/C75*100</f>
        <v>0</v>
      </c>
      <c r="K75" s="428">
        <f>(E75+F75)/D75*100</f>
        <v>0</v>
      </c>
      <c r="L75" s="639">
        <f>SUM(L74)</f>
        <v>1</v>
      </c>
      <c r="M75" s="641">
        <f>SUM(M74)</f>
        <v>0</v>
      </c>
      <c r="N75" s="641">
        <f>SUM(N74)</f>
        <v>0</v>
      </c>
      <c r="O75" s="788">
        <f>SUM(O74)</f>
        <v>0</v>
      </c>
      <c r="P75" s="432">
        <f>SUM(P74)</f>
        <v>1</v>
      </c>
      <c r="Q75" s="642">
        <f>P75/B75*100</f>
        <v>3.3333333333333335</v>
      </c>
      <c r="R75" s="643">
        <f>(P75-L75)/C75*100</f>
        <v>0</v>
      </c>
      <c r="S75" s="644">
        <f>(P75)/D75*100</f>
        <v>3.3333333333333335</v>
      </c>
      <c r="T75" s="434"/>
      <c r="U75" s="435"/>
      <c r="V75" s="436"/>
      <c r="W75" s="436"/>
      <c r="X75" s="436"/>
      <c r="Y75" s="436"/>
      <c r="Z75" s="436"/>
      <c r="AA75" s="437"/>
      <c r="AB75" s="438"/>
      <c r="AC75" s="438"/>
    </row>
    <row r="76" spans="1:29" s="713" customFormat="1" ht="18.95" customHeight="1">
      <c r="A76" s="714" t="s">
        <v>25</v>
      </c>
      <c r="B76" s="715">
        <f>+B78-B63</f>
        <v>4058</v>
      </c>
      <c r="C76" s="716">
        <f>+C78-C63</f>
        <v>3510</v>
      </c>
      <c r="D76" s="717">
        <f>+D78-D63</f>
        <v>3625</v>
      </c>
      <c r="E76" s="718">
        <f>E78-E63</f>
        <v>616</v>
      </c>
      <c r="F76" s="719">
        <f>F78-F63</f>
        <v>1367</v>
      </c>
      <c r="G76" s="776"/>
      <c r="H76" s="720">
        <f t="shared" si="25"/>
        <v>1983</v>
      </c>
      <c r="I76" s="721">
        <f>(E76+F76)/B76*100</f>
        <v>48.866436668309511</v>
      </c>
      <c r="J76" s="722">
        <f>(E76+F76)/C76*100</f>
        <v>56.495726495726494</v>
      </c>
      <c r="K76" s="723">
        <f>(E76+F76)/D76*100</f>
        <v>54.703448275862065</v>
      </c>
      <c r="L76" s="714">
        <f>+L78-L63</f>
        <v>562</v>
      </c>
      <c r="M76" s="724">
        <f>+M78-M63</f>
        <v>313</v>
      </c>
      <c r="N76" s="724">
        <f>+N78-N63</f>
        <v>78</v>
      </c>
      <c r="O76" s="806">
        <f>+O78-O63</f>
        <v>60</v>
      </c>
      <c r="P76" s="725">
        <f>+P78-P63</f>
        <v>1012</v>
      </c>
      <c r="Q76" s="726">
        <f>P76/B76*100</f>
        <v>24.938393297190732</v>
      </c>
      <c r="R76" s="727">
        <f t="shared" si="23"/>
        <v>12.820512820512819</v>
      </c>
      <c r="S76" s="728">
        <f>(P76)/D76*100</f>
        <v>27.917241379310344</v>
      </c>
    </row>
    <row r="77" spans="1:29" s="713" customFormat="1" ht="18.95" customHeight="1" thickBot="1">
      <c r="A77" s="639" t="s">
        <v>26</v>
      </c>
      <c r="B77" s="635">
        <f>+B63</f>
        <v>80</v>
      </c>
      <c r="C77" s="638">
        <f t="shared" ref="C77:R77" si="27">+C63</f>
        <v>80</v>
      </c>
      <c r="D77" s="424">
        <f t="shared" si="27"/>
        <v>80</v>
      </c>
      <c r="E77" s="711">
        <f t="shared" si="27"/>
        <v>0</v>
      </c>
      <c r="F77" s="637">
        <f t="shared" si="27"/>
        <v>72</v>
      </c>
      <c r="G77" s="760">
        <f t="shared" si="27"/>
        <v>4</v>
      </c>
      <c r="H77" s="426">
        <f t="shared" si="25"/>
        <v>72</v>
      </c>
      <c r="I77" s="712">
        <f>(E77+F77)/B77*100</f>
        <v>90</v>
      </c>
      <c r="J77" s="652">
        <f>(E77+F77)/C77*100</f>
        <v>90</v>
      </c>
      <c r="K77" s="428">
        <f t="shared" si="7"/>
        <v>90</v>
      </c>
      <c r="L77" s="639">
        <f t="shared" si="27"/>
        <v>0</v>
      </c>
      <c r="M77" s="640">
        <f t="shared" si="27"/>
        <v>0</v>
      </c>
      <c r="N77" s="641">
        <f t="shared" si="27"/>
        <v>0</v>
      </c>
      <c r="O77" s="788">
        <f t="shared" si="27"/>
        <v>0</v>
      </c>
      <c r="P77" s="729">
        <f t="shared" si="27"/>
        <v>0</v>
      </c>
      <c r="Q77" s="642">
        <f t="shared" si="27"/>
        <v>0</v>
      </c>
      <c r="R77" s="643">
        <f t="shared" si="27"/>
        <v>0</v>
      </c>
      <c r="S77" s="644">
        <f>(P77-L77)/D77*100</f>
        <v>0</v>
      </c>
    </row>
    <row r="78" spans="1:29" s="713" customFormat="1" ht="18.95" customHeight="1" thickBot="1">
      <c r="A78" s="639" t="s">
        <v>18</v>
      </c>
      <c r="B78" s="730">
        <f>B17+B23+B28+B61+B64+B69+B72+B75</f>
        <v>4138</v>
      </c>
      <c r="C78" s="731">
        <f>C17+C23+C28+C61+C64+C69+C72+C75</f>
        <v>3590</v>
      </c>
      <c r="D78" s="732">
        <f>D17+D23+D28+D61+D64+D69+D72+D75</f>
        <v>3705</v>
      </c>
      <c r="E78" s="730">
        <f>E17+E23+E28+E61+E64+E69+E72</f>
        <v>616</v>
      </c>
      <c r="F78" s="733">
        <f>F17+F23+F28+F61+F64+F69+F72</f>
        <v>1439</v>
      </c>
      <c r="G78" s="777">
        <f>G17+G23+G28+G61+G64+G69+G72</f>
        <v>708</v>
      </c>
      <c r="H78" s="734">
        <f t="shared" si="25"/>
        <v>2055</v>
      </c>
      <c r="I78" s="735">
        <f>(E78+F78)/B78*100</f>
        <v>49.661672305461572</v>
      </c>
      <c r="J78" s="736">
        <f>(E78+F78)/C78*100</f>
        <v>57.242339832869085</v>
      </c>
      <c r="K78" s="737">
        <f t="shared" si="7"/>
        <v>55.465587044534416</v>
      </c>
      <c r="L78" s="738">
        <f>L17+L23+L28+L61+L64+L69+L72+L75</f>
        <v>562</v>
      </c>
      <c r="M78" s="739">
        <f>M17+M23+M28+M61+M64+M69+M72</f>
        <v>313</v>
      </c>
      <c r="N78" s="739">
        <f>N17+N23+N28+N61+N64+N69+N72</f>
        <v>78</v>
      </c>
      <c r="O78" s="807">
        <f>O17+O23+O28+O61+O64+O69+O72+O75</f>
        <v>60</v>
      </c>
      <c r="P78" s="740">
        <f>P17+P23+P28+P61+P64+P69+P72</f>
        <v>1012</v>
      </c>
      <c r="Q78" s="741">
        <f>P78/B78*100</f>
        <v>24.456259062348963</v>
      </c>
      <c r="R78" s="742">
        <f>(P78-L78)/C78*100</f>
        <v>12.534818941504177</v>
      </c>
      <c r="S78" s="743">
        <f>(P78)/D78*100</f>
        <v>27.314439946018894</v>
      </c>
      <c r="T78" s="434"/>
      <c r="U78" s="435"/>
      <c r="V78" s="436"/>
      <c r="W78" s="436"/>
      <c r="X78" s="436"/>
      <c r="Y78" s="436"/>
      <c r="Z78" s="436"/>
      <c r="AA78" s="437"/>
      <c r="AB78" s="438"/>
      <c r="AC78" s="438"/>
    </row>
    <row r="79" spans="1:29" s="110" customFormat="1" ht="21.75" customHeight="1">
      <c r="A79" s="956" t="s">
        <v>48</v>
      </c>
      <c r="B79" s="956"/>
      <c r="C79" s="956"/>
      <c r="D79" s="956"/>
      <c r="E79" s="956"/>
      <c r="F79" s="956"/>
      <c r="G79" s="956"/>
      <c r="H79" s="956"/>
      <c r="I79" s="956"/>
      <c r="J79" s="956"/>
      <c r="K79" s="956"/>
      <c r="L79" s="956"/>
      <c r="M79" s="956"/>
      <c r="N79" s="956"/>
      <c r="O79" s="956"/>
      <c r="P79" s="956"/>
      <c r="Q79" s="956"/>
      <c r="R79" s="956"/>
      <c r="S79" s="744"/>
      <c r="T79" s="314"/>
      <c r="U79" s="314"/>
      <c r="V79" s="318"/>
      <c r="W79" s="318"/>
      <c r="X79" s="318"/>
      <c r="Y79" s="318"/>
      <c r="Z79" s="318"/>
      <c r="AA79" s="111"/>
      <c r="AB79" s="100"/>
      <c r="AC79" s="100"/>
    </row>
    <row r="80" spans="1:29" s="30" customFormat="1" ht="18.75" customHeight="1">
      <c r="A80" s="957" t="s">
        <v>97</v>
      </c>
      <c r="B80" s="957"/>
      <c r="C80" s="957"/>
      <c r="D80" s="957"/>
      <c r="E80" s="957"/>
      <c r="F80" s="957"/>
      <c r="G80" s="957"/>
      <c r="H80" s="957"/>
      <c r="I80" s="957"/>
      <c r="J80" s="957"/>
      <c r="K80" s="957"/>
      <c r="L80" s="957"/>
      <c r="M80" s="957"/>
      <c r="N80" s="957"/>
      <c r="O80" s="957"/>
      <c r="P80" s="957"/>
      <c r="Q80" s="957"/>
      <c r="R80" s="957"/>
      <c r="S80" s="744"/>
      <c r="T80" s="315"/>
      <c r="U80" s="315"/>
      <c r="V80" s="318"/>
      <c r="W80" s="318"/>
      <c r="X80" s="318"/>
      <c r="Y80" s="318"/>
      <c r="Z80" s="318"/>
      <c r="AA80" s="115"/>
      <c r="AB80" s="110"/>
      <c r="AC80" s="110"/>
    </row>
    <row r="81" spans="1:29" s="99" customFormat="1" ht="20.25" customHeight="1">
      <c r="A81" s="1112" t="s">
        <v>98</v>
      </c>
      <c r="B81" s="1112"/>
      <c r="C81" s="1112"/>
      <c r="D81" s="1112"/>
      <c r="E81" s="1112"/>
      <c r="F81" s="1112"/>
      <c r="G81" s="1112"/>
      <c r="H81" s="1112"/>
      <c r="I81" s="1112"/>
      <c r="J81" s="1112"/>
      <c r="K81" s="1112"/>
      <c r="L81" s="1112"/>
      <c r="M81" s="1112"/>
      <c r="N81" s="1112"/>
      <c r="O81" s="1112"/>
      <c r="P81" s="1112"/>
      <c r="Q81" s="1112"/>
      <c r="R81" s="1112"/>
      <c r="S81" s="744"/>
      <c r="T81" s="315"/>
      <c r="U81" s="315"/>
      <c r="V81" s="318"/>
      <c r="W81" s="318"/>
      <c r="X81" s="318"/>
      <c r="Y81" s="318"/>
      <c r="Z81" s="318"/>
      <c r="AA81" s="115"/>
      <c r="AB81" s="110"/>
      <c r="AC81" s="110"/>
    </row>
    <row r="82" spans="1:29" ht="20.25" customHeight="1">
      <c r="A82" s="1113" t="s">
        <v>126</v>
      </c>
      <c r="B82" s="745"/>
      <c r="C82" s="745"/>
      <c r="D82" s="745"/>
      <c r="E82" s="745"/>
      <c r="F82" s="1114"/>
      <c r="G82" s="1115"/>
      <c r="H82" s="745"/>
      <c r="I82" s="745"/>
      <c r="J82" s="745"/>
      <c r="K82" s="1116"/>
      <c r="L82" s="745"/>
      <c r="M82" s="745"/>
      <c r="N82" s="745"/>
      <c r="O82" s="1117"/>
      <c r="P82" s="1118"/>
      <c r="Q82" s="745"/>
      <c r="R82" s="754"/>
      <c r="T82" s="316"/>
      <c r="U82" s="316"/>
      <c r="V82" s="99"/>
      <c r="W82" s="99"/>
      <c r="X82" s="99"/>
      <c r="Y82" s="99"/>
      <c r="Z82" s="99"/>
      <c r="AA82" s="95"/>
      <c r="AB82" s="30"/>
      <c r="AC82" s="30"/>
    </row>
    <row r="83" spans="1:29" ht="20.25" customHeight="1">
      <c r="A83" s="1113" t="s">
        <v>127</v>
      </c>
      <c r="B83" s="745"/>
      <c r="C83" s="745"/>
      <c r="D83" s="745"/>
      <c r="E83" s="745"/>
      <c r="F83" s="1114"/>
      <c r="G83" s="1115"/>
      <c r="H83" s="745"/>
      <c r="I83" s="745"/>
      <c r="J83" s="745"/>
      <c r="K83" s="1116"/>
      <c r="L83" s="745"/>
      <c r="M83" s="745"/>
      <c r="N83" s="745"/>
      <c r="O83" s="1117"/>
      <c r="P83" s="1118"/>
      <c r="Q83" s="745"/>
      <c r="R83" s="754"/>
      <c r="T83" s="316"/>
      <c r="U83" s="316"/>
      <c r="V83" s="99"/>
      <c r="W83" s="99"/>
      <c r="X83" s="99"/>
      <c r="Y83" s="99"/>
      <c r="Z83" s="99"/>
      <c r="AA83" s="95"/>
      <c r="AB83" s="30"/>
      <c r="AC83" s="30"/>
    </row>
    <row r="84" spans="1:29" ht="20.25" customHeight="1">
      <c r="A84" s="1119" t="s">
        <v>39</v>
      </c>
      <c r="B84" s="745"/>
      <c r="C84" s="745"/>
      <c r="D84" s="745"/>
      <c r="E84" s="745"/>
      <c r="F84" s="1114"/>
      <c r="G84" s="1115"/>
      <c r="H84" s="745"/>
      <c r="I84" s="745"/>
      <c r="J84" s="745"/>
      <c r="K84" s="1116"/>
      <c r="L84" s="745"/>
      <c r="M84" s="745"/>
      <c r="N84" s="745"/>
      <c r="O84" s="1117"/>
      <c r="P84" s="1118"/>
      <c r="Q84" s="745"/>
      <c r="R84" s="754"/>
      <c r="T84" s="316"/>
      <c r="U84" s="316"/>
      <c r="V84" s="99"/>
      <c r="W84" s="99"/>
      <c r="X84" s="99"/>
      <c r="Y84" s="99"/>
      <c r="Z84" s="99"/>
      <c r="AA84" s="95"/>
      <c r="AB84" s="30"/>
      <c r="AC84" s="30"/>
    </row>
    <row r="85" spans="1:29" ht="24" customHeight="1">
      <c r="A85" s="1119"/>
      <c r="B85" s="748"/>
      <c r="C85" s="748"/>
      <c r="D85" s="748"/>
      <c r="E85" s="748"/>
      <c r="F85" s="1120"/>
      <c r="G85" s="1121"/>
      <c r="H85" s="748"/>
      <c r="I85" s="748"/>
      <c r="J85" s="748"/>
      <c r="K85" s="1122"/>
      <c r="L85" s="748"/>
      <c r="M85" s="748"/>
      <c r="N85" s="748"/>
      <c r="O85" s="1123"/>
      <c r="P85" s="1124"/>
      <c r="Q85" s="748"/>
      <c r="R85" s="754"/>
      <c r="S85" s="750" t="s">
        <v>128</v>
      </c>
      <c r="AA85" s="117"/>
      <c r="AB85" s="99"/>
      <c r="AC85" s="99"/>
    </row>
  </sheetData>
  <mergeCells count="14">
    <mergeCell ref="A1:R1"/>
    <mergeCell ref="A2:R2"/>
    <mergeCell ref="A4:A5"/>
    <mergeCell ref="B4:C4"/>
    <mergeCell ref="D4:D5"/>
    <mergeCell ref="E4:H4"/>
    <mergeCell ref="I4:K4"/>
    <mergeCell ref="L4:P4"/>
    <mergeCell ref="Q4:S4"/>
    <mergeCell ref="A79:R79"/>
    <mergeCell ref="A80:R80"/>
    <mergeCell ref="A81:R81"/>
    <mergeCell ref="G3:H3"/>
    <mergeCell ref="O3:P3"/>
  </mergeCells>
  <printOptions horizontalCentered="1"/>
  <pageMargins left="0.35433070866141736" right="0.15748031496062992" top="0.19685039370078741" bottom="0.19685039370078741" header="0.15748031496062992" footer="0.15748031496062992"/>
  <pageSetup paperSize="9" scale="46" orientation="portrait" r:id="rId1"/>
  <headerFooter>
    <oddFooter>&amp;L&amp;"TH SarabunPSK,Regular"&amp;8&amp;K00+000&amp;Z&amp;F&amp;R&amp;"TH SarabunPSK,Regular"&amp;16&amp;K00+000&amp;P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79"/>
  <sheetViews>
    <sheetView showZeros="0" view="pageBreakPreview" topLeftCell="A46" zoomScaleNormal="100" zoomScaleSheetLayoutView="100" workbookViewId="0">
      <selection activeCell="A14" sqref="A14"/>
    </sheetView>
  </sheetViews>
  <sheetFormatPr defaultColWidth="8.85546875" defaultRowHeight="15"/>
  <cols>
    <col min="1" max="1" width="37.7109375" style="118" customWidth="1"/>
    <col min="2" max="2" width="7.7109375" style="100" customWidth="1"/>
    <col min="3" max="3" width="8.140625" style="100" customWidth="1"/>
    <col min="4" max="4" width="9.140625" style="850" customWidth="1"/>
    <col min="5" max="5" width="10" style="100" customWidth="1"/>
    <col min="6" max="6" width="12.42578125" style="111" customWidth="1"/>
    <col min="7" max="7" width="9.5703125" style="780" customWidth="1"/>
    <col min="8" max="8" width="12.85546875" style="100" customWidth="1"/>
    <col min="9" max="9" width="10.7109375" style="100" customWidth="1"/>
    <col min="10" max="10" width="8.5703125" style="875" customWidth="1"/>
    <col min="11" max="11" width="6.42578125" style="100" customWidth="1"/>
    <col min="12" max="12" width="5" style="100" customWidth="1"/>
    <col min="13" max="13" width="5.28515625" style="100" customWidth="1"/>
    <col min="14" max="14" width="7.5703125" style="780" customWidth="1"/>
    <col min="15" max="15" width="5.85546875" style="100" customWidth="1"/>
    <col min="16" max="16" width="7.5703125" style="100" customWidth="1"/>
    <col min="17" max="17" width="7.42578125" style="100" customWidth="1"/>
    <col min="18" max="18" width="7.7109375" style="850" customWidth="1"/>
    <col min="19" max="19" width="41" style="317" customWidth="1"/>
    <col min="20" max="20" width="34.140625" style="317" bestFit="1" customWidth="1"/>
    <col min="21" max="21" width="10.7109375" style="100" customWidth="1"/>
    <col min="22" max="22" width="11.42578125" style="100" customWidth="1"/>
    <col min="23" max="25" width="11.7109375" style="100" customWidth="1"/>
    <col min="26" max="26" width="16.85546875" style="111" bestFit="1" customWidth="1"/>
    <col min="27" max="16384" width="8.85546875" style="100"/>
  </cols>
  <sheetData>
    <row r="1" spans="1:27" ht="27.75" customHeight="1">
      <c r="A1" s="944" t="s">
        <v>137</v>
      </c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  <c r="O1" s="944"/>
      <c r="P1" s="944"/>
      <c r="Q1" s="944"/>
      <c r="R1" s="876"/>
      <c r="S1" s="301"/>
      <c r="T1" s="301"/>
      <c r="U1" s="319"/>
      <c r="V1" s="319"/>
      <c r="W1" s="319"/>
      <c r="X1" s="319"/>
      <c r="Y1" s="319"/>
    </row>
    <row r="2" spans="1:27" s="31" customFormat="1" ht="23.25" customHeight="1">
      <c r="A2" s="945" t="s">
        <v>138</v>
      </c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  <c r="O2" s="945"/>
      <c r="P2" s="945"/>
      <c r="Q2" s="945"/>
      <c r="R2" s="877"/>
      <c r="S2" s="302"/>
      <c r="T2" s="302"/>
      <c r="U2" s="112"/>
      <c r="V2" s="112"/>
      <c r="W2" s="112"/>
      <c r="X2" s="112"/>
      <c r="Y2" s="112"/>
      <c r="Z2" s="94"/>
    </row>
    <row r="3" spans="1:27" s="31" customFormat="1" ht="24" customHeight="1" thickBot="1">
      <c r="A3" s="154" t="s">
        <v>29</v>
      </c>
      <c r="B3" s="98"/>
      <c r="C3" s="98"/>
      <c r="D3" s="831"/>
      <c r="E3" s="98"/>
      <c r="F3" s="151"/>
      <c r="G3" s="958" t="s">
        <v>133</v>
      </c>
      <c r="H3" s="958"/>
      <c r="I3" s="979"/>
      <c r="J3" s="979"/>
      <c r="K3" s="98"/>
      <c r="L3" s="98"/>
      <c r="M3" s="98"/>
      <c r="N3" s="959" t="s">
        <v>133</v>
      </c>
      <c r="O3" s="959"/>
      <c r="P3" s="98"/>
      <c r="Q3" s="98"/>
      <c r="R3" s="831"/>
      <c r="S3" s="302"/>
      <c r="T3" s="302"/>
      <c r="U3" s="113"/>
      <c r="V3" s="320"/>
      <c r="W3" s="320"/>
      <c r="X3" s="320"/>
      <c r="Y3" s="320"/>
      <c r="Z3" s="94"/>
    </row>
    <row r="4" spans="1:27" ht="42" customHeight="1">
      <c r="A4" s="946" t="s">
        <v>0</v>
      </c>
      <c r="B4" s="948" t="s">
        <v>47</v>
      </c>
      <c r="C4" s="949"/>
      <c r="D4" s="980" t="s">
        <v>89</v>
      </c>
      <c r="E4" s="950" t="s">
        <v>44</v>
      </c>
      <c r="F4" s="950"/>
      <c r="G4" s="950"/>
      <c r="H4" s="951" t="s">
        <v>20</v>
      </c>
      <c r="I4" s="950"/>
      <c r="J4" s="952"/>
      <c r="K4" s="953" t="s">
        <v>150</v>
      </c>
      <c r="L4" s="954"/>
      <c r="M4" s="954"/>
      <c r="N4" s="954"/>
      <c r="O4" s="955"/>
      <c r="P4" s="951" t="s">
        <v>21</v>
      </c>
      <c r="Q4" s="950"/>
      <c r="R4" s="952"/>
      <c r="S4" s="303"/>
      <c r="T4" s="303"/>
      <c r="U4" s="96"/>
      <c r="V4" s="96"/>
      <c r="W4" s="96"/>
      <c r="X4" s="96"/>
      <c r="Y4" s="96"/>
    </row>
    <row r="5" spans="1:27" ht="79.5" customHeight="1" thickBot="1">
      <c r="A5" s="947"/>
      <c r="B5" s="25" t="s">
        <v>40</v>
      </c>
      <c r="C5" s="29" t="s">
        <v>54</v>
      </c>
      <c r="D5" s="981"/>
      <c r="E5" s="195" t="s">
        <v>41</v>
      </c>
      <c r="F5" s="109" t="s">
        <v>42</v>
      </c>
      <c r="G5" s="808" t="s">
        <v>43</v>
      </c>
      <c r="H5" s="23" t="s">
        <v>95</v>
      </c>
      <c r="I5" s="227" t="s">
        <v>94</v>
      </c>
      <c r="J5" s="851" t="s">
        <v>93</v>
      </c>
      <c r="K5" s="164" t="s">
        <v>27</v>
      </c>
      <c r="L5" s="165">
        <v>2</v>
      </c>
      <c r="M5" s="166">
        <v>3</v>
      </c>
      <c r="N5" s="781" t="s">
        <v>28</v>
      </c>
      <c r="O5" s="168" t="s">
        <v>19</v>
      </c>
      <c r="P5" s="24" t="s">
        <v>90</v>
      </c>
      <c r="Q5" s="227" t="s">
        <v>91</v>
      </c>
      <c r="R5" s="878" t="s">
        <v>92</v>
      </c>
      <c r="S5" s="304"/>
      <c r="T5" s="305"/>
      <c r="U5" s="114"/>
      <c r="V5" s="114"/>
      <c r="W5" s="114"/>
      <c r="X5" s="114"/>
      <c r="Y5" s="114"/>
    </row>
    <row r="6" spans="1:27" ht="18.95" customHeight="1">
      <c r="A6" s="14" t="s">
        <v>1</v>
      </c>
      <c r="B6" s="17"/>
      <c r="C6" s="20"/>
      <c r="D6" s="832"/>
      <c r="E6" s="18"/>
      <c r="F6" s="26"/>
      <c r="G6" s="809"/>
      <c r="H6" s="19"/>
      <c r="I6" s="26"/>
      <c r="J6" s="852"/>
      <c r="K6" s="17"/>
      <c r="L6" s="20"/>
      <c r="M6" s="26"/>
      <c r="N6" s="782"/>
      <c r="O6" s="18"/>
      <c r="P6" s="19"/>
      <c r="Q6" s="228"/>
      <c r="R6" s="879"/>
      <c r="S6" s="304" t="s">
        <v>34</v>
      </c>
      <c r="T6" s="306"/>
      <c r="U6" s="18"/>
      <c r="V6" s="18"/>
      <c r="W6" s="18"/>
      <c r="X6" s="18"/>
      <c r="Y6" s="18"/>
    </row>
    <row r="7" spans="1:27" ht="18.95" customHeight="1">
      <c r="A7" s="2" t="s">
        <v>2</v>
      </c>
      <c r="B7" s="129">
        <v>79</v>
      </c>
      <c r="C7" s="130">
        <v>66</v>
      </c>
      <c r="D7" s="833">
        <v>77</v>
      </c>
      <c r="E7" s="132">
        <v>14</v>
      </c>
      <c r="F7" s="136">
        <v>42</v>
      </c>
      <c r="G7" s="810">
        <v>5</v>
      </c>
      <c r="H7" s="176">
        <f>(E7+F7)/B7*100</f>
        <v>70.886075949367083</v>
      </c>
      <c r="I7" s="229">
        <f>(F7+G7)/C7*100</f>
        <v>71.212121212121218</v>
      </c>
      <c r="J7" s="853">
        <f>(E7+F7)/D7*100</f>
        <v>72.727272727272734</v>
      </c>
      <c r="K7" s="129">
        <v>11</v>
      </c>
      <c r="L7" s="130">
        <v>2</v>
      </c>
      <c r="M7" s="136">
        <v>1</v>
      </c>
      <c r="N7" s="783"/>
      <c r="O7" s="132">
        <f>SUM(K7:N7)</f>
        <v>14</v>
      </c>
      <c r="P7" s="135">
        <f>O7/B7*100</f>
        <v>17.721518987341771</v>
      </c>
      <c r="Q7" s="229">
        <f>(O7-K7)/C7*100</f>
        <v>4.5454545454545459</v>
      </c>
      <c r="R7" s="853">
        <f>(O7)/D7*100</f>
        <v>18.181818181818183</v>
      </c>
      <c r="S7" s="307">
        <f t="shared" ref="S7:S16" si="0">SUM(E7:F7)</f>
        <v>56</v>
      </c>
      <c r="T7" s="306"/>
      <c r="U7" s="18"/>
      <c r="V7" s="18"/>
      <c r="W7" s="18"/>
      <c r="X7" s="18"/>
      <c r="Y7" s="18"/>
    </row>
    <row r="8" spans="1:27" ht="18.95" customHeight="1">
      <c r="A8" s="133" t="s">
        <v>30</v>
      </c>
      <c r="B8" s="63"/>
      <c r="C8" s="64"/>
      <c r="D8" s="834"/>
      <c r="E8" s="66"/>
      <c r="F8" s="65"/>
      <c r="G8" s="811"/>
      <c r="H8" s="92"/>
      <c r="I8" s="230"/>
      <c r="J8" s="854"/>
      <c r="K8" s="63"/>
      <c r="L8" s="64"/>
      <c r="M8" s="65"/>
      <c r="N8" s="827"/>
      <c r="O8" s="66"/>
      <c r="P8" s="87"/>
      <c r="Q8" s="65"/>
      <c r="R8" s="880"/>
      <c r="S8" s="307">
        <f t="shared" si="0"/>
        <v>0</v>
      </c>
      <c r="T8" s="306"/>
      <c r="U8" s="18"/>
      <c r="V8" s="18"/>
      <c r="W8" s="18"/>
      <c r="X8" s="18"/>
      <c r="Y8" s="18"/>
    </row>
    <row r="9" spans="1:27" ht="18.95" customHeight="1">
      <c r="A9" s="196" t="s">
        <v>49</v>
      </c>
      <c r="B9" s="63">
        <v>11</v>
      </c>
      <c r="C9" s="64"/>
      <c r="D9" s="834"/>
      <c r="E9" s="66"/>
      <c r="F9" s="65"/>
      <c r="G9" s="811"/>
      <c r="H9" s="92"/>
      <c r="I9" s="230"/>
      <c r="J9" s="854"/>
      <c r="K9" s="63"/>
      <c r="L9" s="64"/>
      <c r="M9" s="65"/>
      <c r="N9" s="827"/>
      <c r="O9" s="66"/>
      <c r="P9" s="87"/>
      <c r="Q9" s="65"/>
      <c r="R9" s="880"/>
      <c r="S9" s="307">
        <f t="shared" si="0"/>
        <v>0</v>
      </c>
      <c r="T9" s="306"/>
      <c r="U9" s="18"/>
      <c r="V9" s="18"/>
      <c r="W9" s="18"/>
      <c r="X9" s="18"/>
      <c r="Y9" s="18"/>
    </row>
    <row r="10" spans="1:27" ht="18.95" customHeight="1">
      <c r="A10" s="11" t="s">
        <v>50</v>
      </c>
      <c r="B10" s="63">
        <v>1</v>
      </c>
      <c r="C10" s="64">
        <v>4</v>
      </c>
      <c r="D10" s="834">
        <v>4</v>
      </c>
      <c r="E10" s="66"/>
      <c r="F10" s="65">
        <v>4</v>
      </c>
      <c r="G10" s="811"/>
      <c r="H10" s="92"/>
      <c r="I10" s="230">
        <f t="shared" ref="I10:I15" si="1">(F10+G10)/C10 * 100</f>
        <v>100</v>
      </c>
      <c r="J10" s="854">
        <f>(E10+F10)/D10*100</f>
        <v>100</v>
      </c>
      <c r="K10" s="63"/>
      <c r="L10" s="64"/>
      <c r="M10" s="65"/>
      <c r="N10" s="827"/>
      <c r="O10" s="66"/>
      <c r="P10" s="87"/>
      <c r="Q10" s="65"/>
      <c r="R10" s="880"/>
      <c r="S10" s="307">
        <f t="shared" si="0"/>
        <v>4</v>
      </c>
      <c r="T10" s="306"/>
      <c r="U10" s="18"/>
      <c r="V10" s="18"/>
      <c r="W10" s="18"/>
      <c r="X10" s="18"/>
      <c r="Y10" s="18"/>
    </row>
    <row r="11" spans="1:27" ht="18.95" customHeight="1">
      <c r="A11" s="11" t="s">
        <v>51</v>
      </c>
      <c r="B11" s="63">
        <v>2</v>
      </c>
      <c r="C11" s="64">
        <v>4</v>
      </c>
      <c r="D11" s="834">
        <v>4</v>
      </c>
      <c r="E11" s="66"/>
      <c r="F11" s="65">
        <v>4</v>
      </c>
      <c r="G11" s="811"/>
      <c r="H11" s="92"/>
      <c r="I11" s="230">
        <f t="shared" si="1"/>
        <v>100</v>
      </c>
      <c r="J11" s="854">
        <f>(E11+F11)/D11*100</f>
        <v>100</v>
      </c>
      <c r="K11" s="63"/>
      <c r="L11" s="64"/>
      <c r="M11" s="65"/>
      <c r="N11" s="827"/>
      <c r="O11" s="66"/>
      <c r="P11" s="88"/>
      <c r="Q11" s="230"/>
      <c r="R11" s="854"/>
      <c r="S11" s="307">
        <f t="shared" si="0"/>
        <v>4</v>
      </c>
      <c r="T11" s="306"/>
      <c r="U11" s="18"/>
      <c r="V11" s="18"/>
      <c r="W11" s="18"/>
      <c r="X11" s="18"/>
      <c r="Y11" s="18"/>
    </row>
    <row r="12" spans="1:27" ht="18.95" customHeight="1">
      <c r="A12" s="11" t="s">
        <v>31</v>
      </c>
      <c r="B12" s="63"/>
      <c r="C12" s="64"/>
      <c r="D12" s="834"/>
      <c r="E12" s="66"/>
      <c r="F12" s="65"/>
      <c r="G12" s="811"/>
      <c r="H12" s="92"/>
      <c r="I12" s="230"/>
      <c r="J12" s="854"/>
      <c r="K12" s="63"/>
      <c r="L12" s="64"/>
      <c r="M12" s="65"/>
      <c r="N12" s="827"/>
      <c r="O12" s="66"/>
      <c r="P12" s="88"/>
      <c r="Q12" s="230"/>
      <c r="R12" s="854"/>
      <c r="S12" s="307">
        <f t="shared" si="0"/>
        <v>0</v>
      </c>
      <c r="T12" s="306"/>
      <c r="U12" s="18"/>
      <c r="V12" s="18"/>
      <c r="W12" s="18"/>
      <c r="X12" s="18"/>
      <c r="Y12" s="18"/>
    </row>
    <row r="13" spans="1:27" ht="18.95" customHeight="1">
      <c r="A13" s="11" t="s">
        <v>52</v>
      </c>
      <c r="B13" s="63"/>
      <c r="C13" s="64">
        <v>3</v>
      </c>
      <c r="D13" s="834">
        <v>2</v>
      </c>
      <c r="E13" s="66">
        <v>1</v>
      </c>
      <c r="F13" s="65">
        <v>1</v>
      </c>
      <c r="G13" s="811"/>
      <c r="H13" s="92"/>
      <c r="I13" s="230">
        <f t="shared" si="1"/>
        <v>33.333333333333329</v>
      </c>
      <c r="J13" s="854">
        <f>(E13+F13)/D13*100</f>
        <v>100</v>
      </c>
      <c r="K13" s="63"/>
      <c r="L13" s="64"/>
      <c r="M13" s="65"/>
      <c r="N13" s="827"/>
      <c r="O13" s="66"/>
      <c r="P13" s="87"/>
      <c r="Q13" s="65"/>
      <c r="R13" s="880"/>
      <c r="S13" s="307">
        <f t="shared" si="0"/>
        <v>2</v>
      </c>
      <c r="T13" s="306"/>
      <c r="U13" s="18"/>
      <c r="V13" s="18"/>
      <c r="W13" s="18"/>
      <c r="X13" s="18"/>
      <c r="Y13" s="18"/>
    </row>
    <row r="14" spans="1:27" ht="18.95" customHeight="1">
      <c r="A14" s="11" t="s">
        <v>32</v>
      </c>
      <c r="B14" s="63"/>
      <c r="C14" s="64"/>
      <c r="D14" s="834">
        <v>1</v>
      </c>
      <c r="E14" s="66">
        <v>1</v>
      </c>
      <c r="F14" s="65"/>
      <c r="G14" s="811"/>
      <c r="H14" s="92"/>
      <c r="I14" s="230"/>
      <c r="J14" s="854"/>
      <c r="K14" s="63"/>
      <c r="L14" s="64"/>
      <c r="M14" s="65"/>
      <c r="N14" s="827"/>
      <c r="O14" s="66"/>
      <c r="P14" s="87"/>
      <c r="Q14" s="65"/>
      <c r="R14" s="880"/>
      <c r="S14" s="307">
        <f t="shared" si="0"/>
        <v>1</v>
      </c>
      <c r="T14" s="306"/>
      <c r="U14" s="18"/>
      <c r="V14" s="18"/>
      <c r="W14" s="18"/>
      <c r="X14" s="18"/>
      <c r="Y14" s="18"/>
    </row>
    <row r="15" spans="1:27" ht="18.95" customHeight="1">
      <c r="A15" s="11" t="s">
        <v>53</v>
      </c>
      <c r="B15" s="134">
        <v>3</v>
      </c>
      <c r="C15" s="184">
        <v>6</v>
      </c>
      <c r="D15" s="835">
        <v>6</v>
      </c>
      <c r="E15" s="66"/>
      <c r="F15" s="65">
        <v>6</v>
      </c>
      <c r="G15" s="811"/>
      <c r="H15" s="92"/>
      <c r="I15" s="230">
        <f t="shared" si="1"/>
        <v>100</v>
      </c>
      <c r="J15" s="854">
        <f>(E15+F15)/D15*100</f>
        <v>100</v>
      </c>
      <c r="K15" s="63"/>
      <c r="L15" s="64"/>
      <c r="M15" s="65"/>
      <c r="N15" s="827"/>
      <c r="O15" s="66"/>
      <c r="P15" s="88"/>
      <c r="Q15" s="230"/>
      <c r="R15" s="854"/>
      <c r="S15" s="307">
        <f t="shared" si="0"/>
        <v>6</v>
      </c>
      <c r="T15" s="308"/>
      <c r="U15" s="93"/>
      <c r="V15" s="93"/>
      <c r="W15" s="93"/>
      <c r="X15" s="93"/>
      <c r="Y15" s="93"/>
      <c r="AA15" s="111"/>
    </row>
    <row r="16" spans="1:27" ht="18.95" customHeight="1">
      <c r="A16" s="146" t="s">
        <v>33</v>
      </c>
      <c r="B16" s="131"/>
      <c r="C16" s="185"/>
      <c r="D16" s="836"/>
      <c r="E16" s="97"/>
      <c r="F16" s="103"/>
      <c r="G16" s="812"/>
      <c r="H16" s="208"/>
      <c r="I16" s="231"/>
      <c r="J16" s="855"/>
      <c r="K16" s="101"/>
      <c r="L16" s="102"/>
      <c r="M16" s="103"/>
      <c r="N16" s="828"/>
      <c r="O16" s="97"/>
      <c r="P16" s="104"/>
      <c r="Q16" s="231"/>
      <c r="R16" s="855"/>
      <c r="S16" s="307">
        <f t="shared" si="0"/>
        <v>0</v>
      </c>
      <c r="T16" s="308"/>
      <c r="U16" s="93"/>
      <c r="V16" s="93"/>
      <c r="W16" s="93"/>
      <c r="X16" s="93"/>
      <c r="Y16" s="93"/>
      <c r="AA16" s="111"/>
    </row>
    <row r="17" spans="1:27" ht="18.95" customHeight="1" thickBot="1">
      <c r="A17" s="5" t="s">
        <v>3</v>
      </c>
      <c r="B17" s="71">
        <f t="shared" ref="B17:G17" si="2">SUM(B7:B16)</f>
        <v>96</v>
      </c>
      <c r="C17" s="156">
        <f t="shared" si="2"/>
        <v>83</v>
      </c>
      <c r="D17" s="837">
        <f t="shared" si="2"/>
        <v>94</v>
      </c>
      <c r="E17" s="71">
        <f t="shared" si="2"/>
        <v>16</v>
      </c>
      <c r="F17" s="156">
        <f t="shared" si="2"/>
        <v>57</v>
      </c>
      <c r="G17" s="813">
        <f t="shared" si="2"/>
        <v>5</v>
      </c>
      <c r="H17" s="210">
        <f>E17+F17/B17*100</f>
        <v>75.375</v>
      </c>
      <c r="I17" s="248">
        <f>E17+F17/C17*100</f>
        <v>84.674698795180717</v>
      </c>
      <c r="J17" s="856">
        <f t="shared" ref="J17:J74" si="3">(E17+F17)/D17*100</f>
        <v>77.659574468085097</v>
      </c>
      <c r="K17" s="12">
        <f>SUM(K7:K16)</f>
        <v>11</v>
      </c>
      <c r="L17" s="21">
        <f>SUM(L7:L16)</f>
        <v>2</v>
      </c>
      <c r="M17" s="27">
        <f>SUM(M7:M16)</f>
        <v>1</v>
      </c>
      <c r="N17" s="788">
        <f>SUM(N7:N16)</f>
        <v>0</v>
      </c>
      <c r="O17" s="15">
        <f>SUM(O7:O16)</f>
        <v>14</v>
      </c>
      <c r="P17" s="78">
        <f>O17/B17*100</f>
        <v>14.583333333333334</v>
      </c>
      <c r="Q17" s="232">
        <f>(O17-K17)/C17*100</f>
        <v>3.6144578313253009</v>
      </c>
      <c r="R17" s="856">
        <f>(O17)/D17*100</f>
        <v>14.893617021276595</v>
      </c>
      <c r="S17" s="307"/>
      <c r="T17" s="309"/>
      <c r="U17" s="93"/>
      <c r="V17" s="93"/>
      <c r="W17" s="93"/>
      <c r="X17" s="93"/>
      <c r="Y17" s="93"/>
    </row>
    <row r="18" spans="1:27" ht="18.95" customHeight="1">
      <c r="A18" s="6" t="s">
        <v>4</v>
      </c>
      <c r="B18" s="72"/>
      <c r="C18" s="157"/>
      <c r="D18" s="838"/>
      <c r="E18" s="47"/>
      <c r="F18" s="46"/>
      <c r="G18" s="814"/>
      <c r="H18" s="89"/>
      <c r="I18" s="54"/>
      <c r="J18" s="857"/>
      <c r="K18" s="44"/>
      <c r="L18" s="45"/>
      <c r="M18" s="46"/>
      <c r="N18" s="829"/>
      <c r="O18" s="47"/>
      <c r="P18" s="119"/>
      <c r="Q18" s="233"/>
      <c r="R18" s="857"/>
      <c r="S18" s="304" t="s">
        <v>35</v>
      </c>
      <c r="T18" s="304"/>
      <c r="U18" s="93"/>
      <c r="V18" s="93"/>
      <c r="W18" s="93"/>
      <c r="X18" s="93"/>
      <c r="Y18" s="93"/>
    </row>
    <row r="19" spans="1:27" ht="18.95" customHeight="1">
      <c r="A19" s="108" t="s">
        <v>24</v>
      </c>
      <c r="B19" s="73">
        <v>302</v>
      </c>
      <c r="C19" s="186">
        <v>269</v>
      </c>
      <c r="D19" s="839">
        <v>45</v>
      </c>
      <c r="E19" s="187"/>
      <c r="F19" s="34"/>
      <c r="G19" s="815"/>
      <c r="H19" s="193">
        <f>E19+F19/B19*100</f>
        <v>0</v>
      </c>
      <c r="I19" s="249">
        <f>E19+F19/C19*100</f>
        <v>0</v>
      </c>
      <c r="J19" s="858">
        <f t="shared" si="3"/>
        <v>0</v>
      </c>
      <c r="K19" s="128">
        <v>19</v>
      </c>
      <c r="L19" s="34">
        <v>18</v>
      </c>
      <c r="M19" s="34">
        <v>4</v>
      </c>
      <c r="N19" s="830"/>
      <c r="O19" s="120">
        <f>SUM(K19:N19)</f>
        <v>41</v>
      </c>
      <c r="P19" s="83">
        <f>O19/B19*100</f>
        <v>13.576158940397351</v>
      </c>
      <c r="Q19" s="234">
        <f>(O19-K19)/C19*100</f>
        <v>8.1784386617100377</v>
      </c>
      <c r="R19" s="853">
        <f>(O19-K19)/D19*100</f>
        <v>48.888888888888886</v>
      </c>
      <c r="S19" s="307">
        <f>SUM(E19:F19)</f>
        <v>0</v>
      </c>
      <c r="T19" s="308"/>
      <c r="U19" s="93"/>
      <c r="V19" s="93"/>
      <c r="W19" s="93"/>
      <c r="X19" s="93"/>
      <c r="Y19" s="93"/>
      <c r="AA19" s="111"/>
    </row>
    <row r="20" spans="1:27" ht="18.95" customHeight="1">
      <c r="A20" s="169" t="s">
        <v>22</v>
      </c>
      <c r="B20" s="121"/>
      <c r="C20" s="158"/>
      <c r="D20" s="840">
        <v>255</v>
      </c>
      <c r="E20" s="33">
        <v>135</v>
      </c>
      <c r="F20" s="51">
        <v>67</v>
      </c>
      <c r="G20" s="816">
        <v>32</v>
      </c>
      <c r="H20" s="194"/>
      <c r="I20" s="250"/>
      <c r="J20" s="859">
        <f>(E20+F20)/D20*100</f>
        <v>79.215686274509807</v>
      </c>
      <c r="K20" s="55"/>
      <c r="L20" s="41">
        <v>4</v>
      </c>
      <c r="M20" s="42">
        <v>11</v>
      </c>
      <c r="N20" s="790">
        <v>3</v>
      </c>
      <c r="O20" s="35">
        <f>SUM(K20:N20)</f>
        <v>18</v>
      </c>
      <c r="P20" s="83">
        <f>O20/B19*100</f>
        <v>5.9602649006622519</v>
      </c>
      <c r="Q20" s="234">
        <f>(O20-K20)/C19*100</f>
        <v>6.6914498141263934</v>
      </c>
      <c r="R20" s="853">
        <f>(O20-K20)/D20*100</f>
        <v>7.0588235294117645</v>
      </c>
      <c r="S20" s="307">
        <f>SUM(E20:F20)</f>
        <v>202</v>
      </c>
      <c r="T20" s="308"/>
      <c r="U20" s="93"/>
      <c r="V20" s="93"/>
      <c r="W20" s="93"/>
      <c r="X20" s="93"/>
      <c r="Y20" s="93"/>
    </row>
    <row r="21" spans="1:27" ht="18.95" customHeight="1">
      <c r="A21" s="152" t="s">
        <v>96</v>
      </c>
      <c r="B21" s="75"/>
      <c r="C21" s="160"/>
      <c r="D21" s="841"/>
      <c r="E21" s="35"/>
      <c r="F21" s="42"/>
      <c r="G21" s="817"/>
      <c r="H21" s="194"/>
      <c r="I21" s="250"/>
      <c r="J21" s="859"/>
      <c r="K21" s="55"/>
      <c r="L21" s="41"/>
      <c r="M21" s="42"/>
      <c r="N21" s="790"/>
      <c r="O21" s="35"/>
      <c r="P21" s="84"/>
      <c r="Q21" s="235"/>
      <c r="R21" s="881"/>
      <c r="S21" s="307"/>
      <c r="T21" s="308"/>
      <c r="U21" s="93"/>
      <c r="V21" s="93"/>
      <c r="W21" s="93"/>
      <c r="X21" s="93"/>
      <c r="Y21" s="93"/>
    </row>
    <row r="22" spans="1:27" ht="18.95" customHeight="1">
      <c r="A22" s="8" t="s">
        <v>23</v>
      </c>
      <c r="B22" s="122">
        <v>158</v>
      </c>
      <c r="C22" s="158">
        <v>138</v>
      </c>
      <c r="D22" s="840">
        <v>158</v>
      </c>
      <c r="E22" s="33"/>
      <c r="F22" s="51">
        <v>123</v>
      </c>
      <c r="G22" s="816">
        <v>9</v>
      </c>
      <c r="H22" s="204">
        <f>E22+F22/B22*100</f>
        <v>77.848101265822791</v>
      </c>
      <c r="I22" s="231">
        <f>E22+F22/C22*100</f>
        <v>89.130434782608688</v>
      </c>
      <c r="J22" s="860">
        <f t="shared" si="3"/>
        <v>77.848101265822791</v>
      </c>
      <c r="K22" s="49">
        <v>14</v>
      </c>
      <c r="L22" s="50">
        <v>8</v>
      </c>
      <c r="M22" s="51">
        <v>2</v>
      </c>
      <c r="N22" s="793">
        <v>3</v>
      </c>
      <c r="O22" s="33">
        <f>SUM(K22:N22)</f>
        <v>27</v>
      </c>
      <c r="P22" s="81">
        <f>O22/B22*100</f>
        <v>17.088607594936708</v>
      </c>
      <c r="Q22" s="236">
        <f>(O22-K22)/C22*100</f>
        <v>9.4202898550724647</v>
      </c>
      <c r="R22" s="882">
        <f>(P22-L22)/D22*100</f>
        <v>5.7522832879346248</v>
      </c>
      <c r="S22" s="307">
        <f>SUM(E22:F22)</f>
        <v>123</v>
      </c>
      <c r="T22" s="308"/>
      <c r="U22" s="93"/>
      <c r="V22" s="93"/>
      <c r="W22" s="93"/>
      <c r="X22" s="93"/>
      <c r="Y22" s="93"/>
    </row>
    <row r="23" spans="1:27" ht="18.95" customHeight="1" thickBot="1">
      <c r="A23" s="170" t="s">
        <v>5</v>
      </c>
      <c r="B23" s="71">
        <f t="shared" ref="B23:G23" si="4">SUM(B19:B22)</f>
        <v>460</v>
      </c>
      <c r="C23" s="156">
        <f t="shared" si="4"/>
        <v>407</v>
      </c>
      <c r="D23" s="837">
        <f t="shared" si="4"/>
        <v>458</v>
      </c>
      <c r="E23" s="71">
        <f t="shared" si="4"/>
        <v>135</v>
      </c>
      <c r="F23" s="137">
        <f t="shared" si="4"/>
        <v>190</v>
      </c>
      <c r="G23" s="760">
        <f t="shared" si="4"/>
        <v>41</v>
      </c>
      <c r="H23" s="199">
        <f>E23+F23/B23*100</f>
        <v>176.30434782608694</v>
      </c>
      <c r="I23" s="137">
        <f>E23+F23/C23*100</f>
        <v>181.68304668304668</v>
      </c>
      <c r="J23" s="861">
        <f t="shared" si="3"/>
        <v>70.960698689956331</v>
      </c>
      <c r="K23" s="12">
        <f>SUM(K19:K22)</f>
        <v>33</v>
      </c>
      <c r="L23" s="21">
        <f>SUM(L19:L22)</f>
        <v>30</v>
      </c>
      <c r="M23" s="27">
        <f>SUM(M19:M22)</f>
        <v>17</v>
      </c>
      <c r="N23" s="788">
        <f>SUM(N19:N22)</f>
        <v>6</v>
      </c>
      <c r="O23" s="171">
        <f>SUM(O19:O22)</f>
        <v>86</v>
      </c>
      <c r="P23" s="78">
        <f>O23/B23*100</f>
        <v>18.695652173913043</v>
      </c>
      <c r="Q23" s="232">
        <f>(O23-K23)/C23*100</f>
        <v>13.022113022113022</v>
      </c>
      <c r="R23" s="883">
        <f>(O23-K23)/D23*100</f>
        <v>11.572052401746726</v>
      </c>
      <c r="S23" s="307"/>
      <c r="T23" s="309"/>
      <c r="U23" s="93"/>
      <c r="V23" s="93"/>
      <c r="W23" s="93"/>
      <c r="X23" s="93"/>
      <c r="Y23" s="93"/>
    </row>
    <row r="24" spans="1:27" ht="18.95" customHeight="1">
      <c r="A24" s="1" t="s">
        <v>6</v>
      </c>
      <c r="B24" s="74"/>
      <c r="C24" s="159"/>
      <c r="D24" s="842"/>
      <c r="E24" s="38"/>
      <c r="F24" s="54"/>
      <c r="G24" s="818"/>
      <c r="H24" s="89"/>
      <c r="I24" s="54"/>
      <c r="J24" s="862"/>
      <c r="K24" s="52"/>
      <c r="L24" s="53"/>
      <c r="M24" s="54"/>
      <c r="N24" s="794"/>
      <c r="O24" s="38"/>
      <c r="P24" s="82"/>
      <c r="Q24" s="237"/>
      <c r="R24" s="884"/>
      <c r="S24" s="304" t="s">
        <v>35</v>
      </c>
      <c r="T24" s="304"/>
      <c r="U24" s="93"/>
      <c r="V24" s="93"/>
      <c r="W24" s="93"/>
      <c r="X24" s="93"/>
      <c r="Y24" s="93"/>
    </row>
    <row r="25" spans="1:27" ht="18.95" customHeight="1">
      <c r="A25" s="7" t="s">
        <v>7</v>
      </c>
      <c r="B25" s="123">
        <v>130</v>
      </c>
      <c r="C25" s="179">
        <v>115</v>
      </c>
      <c r="D25" s="843">
        <v>138</v>
      </c>
      <c r="E25" s="32">
        <v>18</v>
      </c>
      <c r="F25" s="177">
        <v>61</v>
      </c>
      <c r="G25" s="819">
        <v>24</v>
      </c>
      <c r="H25" s="176">
        <f>E25+F25/B25*100</f>
        <v>64.92307692307692</v>
      </c>
      <c r="I25" s="229">
        <f>E25+F25/C25*100</f>
        <v>71.043478260869563</v>
      </c>
      <c r="J25" s="858">
        <f t="shared" si="3"/>
        <v>57.246376811594203</v>
      </c>
      <c r="K25" s="48">
        <v>13</v>
      </c>
      <c r="L25" s="178">
        <v>13</v>
      </c>
      <c r="M25" s="177">
        <v>5</v>
      </c>
      <c r="N25" s="795">
        <v>1</v>
      </c>
      <c r="O25" s="32">
        <f>SUM(K25:N25)</f>
        <v>32</v>
      </c>
      <c r="P25" s="83">
        <f>O25/B25*100</f>
        <v>24.615384615384617</v>
      </c>
      <c r="Q25" s="234">
        <f>(O25-K25)/C25*100</f>
        <v>16.521739130434781</v>
      </c>
      <c r="R25" s="885">
        <f t="shared" ref="R25:R73" si="5">(O25-K25)/D25*100</f>
        <v>13.768115942028986</v>
      </c>
      <c r="S25" s="307">
        <f>SUM(E25:F25)</f>
        <v>79</v>
      </c>
      <c r="T25" s="308"/>
      <c r="U25" s="93"/>
      <c r="V25" s="93"/>
      <c r="W25" s="93"/>
      <c r="X25" s="93"/>
      <c r="Y25" s="93"/>
    </row>
    <row r="26" spans="1:27" ht="18.95" customHeight="1">
      <c r="A26" s="4" t="s">
        <v>8</v>
      </c>
      <c r="B26" s="75">
        <v>135</v>
      </c>
      <c r="C26" s="160">
        <v>106</v>
      </c>
      <c r="D26" s="841">
        <v>137</v>
      </c>
      <c r="E26" s="35">
        <v>1</v>
      </c>
      <c r="F26" s="42">
        <v>44</v>
      </c>
      <c r="G26" s="817">
        <v>36</v>
      </c>
      <c r="H26" s="92">
        <f>E26+F26/B26*100</f>
        <v>33.592592592592595</v>
      </c>
      <c r="I26" s="230">
        <f>E26+F26/C26*100</f>
        <v>42.509433962264154</v>
      </c>
      <c r="J26" s="859">
        <f t="shared" si="3"/>
        <v>32.846715328467155</v>
      </c>
      <c r="K26" s="55">
        <v>24</v>
      </c>
      <c r="L26" s="41">
        <v>18</v>
      </c>
      <c r="M26" s="42">
        <v>6</v>
      </c>
      <c r="N26" s="790">
        <v>1</v>
      </c>
      <c r="O26" s="35">
        <f>SUM(K26:N26)</f>
        <v>49</v>
      </c>
      <c r="P26" s="84">
        <f>O26/B26*100</f>
        <v>36.296296296296298</v>
      </c>
      <c r="Q26" s="235">
        <f>(O26-K26)/C26*100</f>
        <v>23.584905660377359</v>
      </c>
      <c r="R26" s="881">
        <f t="shared" si="5"/>
        <v>18.248175182481752</v>
      </c>
      <c r="S26" s="307">
        <f>SUM(E26:F26)</f>
        <v>45</v>
      </c>
      <c r="T26" s="308"/>
      <c r="U26" s="93"/>
      <c r="V26" s="93"/>
      <c r="W26" s="93"/>
      <c r="X26" s="93"/>
      <c r="Y26" s="93"/>
    </row>
    <row r="27" spans="1:27" ht="18.95" customHeight="1">
      <c r="A27" s="2" t="s">
        <v>9</v>
      </c>
      <c r="B27" s="121">
        <v>126</v>
      </c>
      <c r="C27" s="161">
        <v>88</v>
      </c>
      <c r="D27" s="844">
        <v>114</v>
      </c>
      <c r="E27" s="37"/>
      <c r="F27" s="57">
        <v>12</v>
      </c>
      <c r="G27" s="820">
        <v>31</v>
      </c>
      <c r="H27" s="204">
        <f>E27+F27/B27*100</f>
        <v>9.5238095238095237</v>
      </c>
      <c r="I27" s="231">
        <f>E27+F27/C27*100</f>
        <v>13.636363636363635</v>
      </c>
      <c r="J27" s="863">
        <f t="shared" si="3"/>
        <v>10.526315789473683</v>
      </c>
      <c r="K27" s="43">
        <v>25</v>
      </c>
      <c r="L27" s="56">
        <v>21</v>
      </c>
      <c r="M27" s="57">
        <v>6</v>
      </c>
      <c r="N27" s="796">
        <v>3</v>
      </c>
      <c r="O27" s="37">
        <f>SUM(K27:N27)</f>
        <v>55</v>
      </c>
      <c r="P27" s="80">
        <f>O27/B27*100</f>
        <v>43.650793650793652</v>
      </c>
      <c r="Q27" s="238">
        <f>(O27-K27)/C27*100</f>
        <v>34.090909090909086</v>
      </c>
      <c r="R27" s="886">
        <f t="shared" si="5"/>
        <v>26.315789473684209</v>
      </c>
      <c r="S27" s="307">
        <f>SUM(E27:F27)</f>
        <v>12</v>
      </c>
      <c r="T27" s="308"/>
      <c r="U27" s="93"/>
      <c r="V27" s="93"/>
      <c r="W27" s="93"/>
      <c r="X27" s="93"/>
      <c r="Y27" s="93"/>
    </row>
    <row r="28" spans="1:27" ht="18.95" customHeight="1" thickBot="1">
      <c r="A28" s="9" t="s">
        <v>10</v>
      </c>
      <c r="B28" s="71">
        <f t="shared" ref="B28:G28" si="6">SUM(B25:B27)</f>
        <v>391</v>
      </c>
      <c r="C28" s="156">
        <f t="shared" si="6"/>
        <v>309</v>
      </c>
      <c r="D28" s="837">
        <f t="shared" si="6"/>
        <v>389</v>
      </c>
      <c r="E28" s="71">
        <f t="shared" si="6"/>
        <v>19</v>
      </c>
      <c r="F28" s="137">
        <f t="shared" si="6"/>
        <v>117</v>
      </c>
      <c r="G28" s="813">
        <f t="shared" si="6"/>
        <v>91</v>
      </c>
      <c r="H28" s="199">
        <f>E28+F28/B28*100</f>
        <v>48.923273657289002</v>
      </c>
      <c r="I28" s="137">
        <f>E28+F28/C28*100</f>
        <v>56.864077669902912</v>
      </c>
      <c r="J28" s="864">
        <f t="shared" si="3"/>
        <v>34.961439588688947</v>
      </c>
      <c r="K28" s="13">
        <f>SUM(K25:K27)</f>
        <v>62</v>
      </c>
      <c r="L28" s="22">
        <f>SUM(L25:L27)</f>
        <v>52</v>
      </c>
      <c r="M28" s="28">
        <f>SUM(M25:M27)</f>
        <v>17</v>
      </c>
      <c r="N28" s="797">
        <f>SUM(N25:N27)</f>
        <v>5</v>
      </c>
      <c r="O28" s="16">
        <f>SUM(K28:N28)</f>
        <v>136</v>
      </c>
      <c r="P28" s="79">
        <f>O28/B28*100</f>
        <v>34.782608695652172</v>
      </c>
      <c r="Q28" s="239">
        <f>(O28-K28)/C28*100</f>
        <v>23.948220064724918</v>
      </c>
      <c r="R28" s="887">
        <f t="shared" si="5"/>
        <v>19.023136246786631</v>
      </c>
      <c r="S28" s="307"/>
      <c r="T28" s="309"/>
      <c r="U28" s="93"/>
      <c r="V28" s="93"/>
      <c r="W28" s="93"/>
      <c r="X28" s="93"/>
      <c r="Y28" s="93"/>
    </row>
    <row r="29" spans="1:27" ht="18.95" customHeight="1">
      <c r="A29" s="1" t="s">
        <v>11</v>
      </c>
      <c r="B29" s="74"/>
      <c r="C29" s="159"/>
      <c r="D29" s="842"/>
      <c r="E29" s="38"/>
      <c r="F29" s="54"/>
      <c r="G29" s="818"/>
      <c r="H29" s="89"/>
      <c r="I29" s="54"/>
      <c r="J29" s="862"/>
      <c r="K29" s="52"/>
      <c r="L29" s="53"/>
      <c r="M29" s="54"/>
      <c r="N29" s="794"/>
      <c r="O29" s="38"/>
      <c r="P29" s="82"/>
      <c r="Q29" s="237"/>
      <c r="R29" s="884"/>
      <c r="S29" s="304" t="s">
        <v>35</v>
      </c>
      <c r="T29" s="304" t="s">
        <v>37</v>
      </c>
      <c r="U29" s="93"/>
      <c r="V29" s="93"/>
      <c r="W29" s="93"/>
      <c r="X29" s="93"/>
      <c r="Y29" s="93"/>
    </row>
    <row r="30" spans="1:27" ht="18.95" customHeight="1">
      <c r="A30" s="188" t="s">
        <v>38</v>
      </c>
      <c r="B30" s="76">
        <v>1713</v>
      </c>
      <c r="C30" s="162">
        <v>1</v>
      </c>
      <c r="D30" s="839">
        <v>209</v>
      </c>
      <c r="E30" s="70"/>
      <c r="F30" s="69"/>
      <c r="G30" s="821"/>
      <c r="H30" s="176">
        <f>E30+F30/B30*100</f>
        <v>0</v>
      </c>
      <c r="I30" s="229">
        <f>E30+F30/C30*100</f>
        <v>0</v>
      </c>
      <c r="J30" s="865">
        <f t="shared" si="3"/>
        <v>0</v>
      </c>
      <c r="K30" s="67">
        <v>133</v>
      </c>
      <c r="L30" s="68">
        <v>77</v>
      </c>
      <c r="M30" s="69"/>
      <c r="N30" s="798"/>
      <c r="O30" s="70">
        <f>SUM(K30:N30)</f>
        <v>210</v>
      </c>
      <c r="P30" s="124">
        <f>O30/B30*100</f>
        <v>12.259194395796849</v>
      </c>
      <c r="Q30" s="240"/>
      <c r="R30" s="888">
        <f>(O30-K30)/D30*100</f>
        <v>36.84210526315789</v>
      </c>
      <c r="S30" s="310"/>
      <c r="T30" s="308"/>
      <c r="U30" s="93"/>
      <c r="V30" s="93"/>
      <c r="W30" s="93"/>
      <c r="X30" s="93"/>
      <c r="Y30" s="93"/>
    </row>
    <row r="31" spans="1:27" ht="18.95" customHeight="1">
      <c r="A31" s="191" t="s">
        <v>60</v>
      </c>
      <c r="B31" s="200"/>
      <c r="C31" s="201"/>
      <c r="D31" s="844"/>
      <c r="E31" s="202">
        <v>1</v>
      </c>
      <c r="F31" s="203"/>
      <c r="G31" s="822"/>
      <c r="H31" s="92"/>
      <c r="I31" s="230"/>
      <c r="J31" s="866"/>
      <c r="K31" s="205"/>
      <c r="L31" s="206"/>
      <c r="M31" s="203"/>
      <c r="N31" s="799"/>
      <c r="O31" s="202"/>
      <c r="P31" s="207"/>
      <c r="Q31" s="241"/>
      <c r="R31" s="889"/>
      <c r="S31" s="310"/>
      <c r="T31" s="308"/>
      <c r="U31" s="93"/>
      <c r="V31" s="93"/>
      <c r="W31" s="93"/>
      <c r="X31" s="93"/>
      <c r="Y31" s="93"/>
    </row>
    <row r="32" spans="1:27" s="140" customFormat="1" ht="18.95" customHeight="1">
      <c r="A32" s="191" t="s">
        <v>61</v>
      </c>
      <c r="B32" s="75">
        <v>38</v>
      </c>
      <c r="C32" s="160">
        <v>97</v>
      </c>
      <c r="D32" s="841">
        <v>103</v>
      </c>
      <c r="E32" s="144">
        <v>5</v>
      </c>
      <c r="F32" s="142">
        <v>31</v>
      </c>
      <c r="G32" s="823">
        <v>37</v>
      </c>
      <c r="H32" s="92">
        <f t="shared" ref="H32:H53" si="7">E32+F32/B32*100</f>
        <v>86.578947368421055</v>
      </c>
      <c r="I32" s="230">
        <f t="shared" ref="I32:I54" si="8">E32+F32/C32*100</f>
        <v>36.958762886597938</v>
      </c>
      <c r="J32" s="867">
        <f t="shared" si="3"/>
        <v>34.95145631067961</v>
      </c>
      <c r="K32" s="141">
        <v>7</v>
      </c>
      <c r="L32" s="143">
        <v>7</v>
      </c>
      <c r="M32" s="142">
        <v>8</v>
      </c>
      <c r="N32" s="800">
        <v>2</v>
      </c>
      <c r="O32" s="144">
        <f t="shared" ref="O32:O70" si="9">SUM(K32:N32)</f>
        <v>24</v>
      </c>
      <c r="P32" s="145">
        <f t="shared" ref="P32:P46" si="10">O32/B32*100</f>
        <v>63.157894736842103</v>
      </c>
      <c r="Q32" s="242">
        <f t="shared" ref="Q32:Q46" si="11">(O32-K32)/C32*100</f>
        <v>17.525773195876287</v>
      </c>
      <c r="R32" s="890">
        <f t="shared" si="5"/>
        <v>16.50485436893204</v>
      </c>
      <c r="S32" s="311">
        <f>SUM(E32:F32)</f>
        <v>36</v>
      </c>
      <c r="T32" s="312">
        <f>+C32-S32</f>
        <v>61</v>
      </c>
      <c r="U32" s="138"/>
      <c r="V32" s="138"/>
      <c r="W32" s="138"/>
      <c r="X32" s="138"/>
      <c r="Y32" s="138"/>
      <c r="Z32" s="139"/>
    </row>
    <row r="33" spans="1:26" ht="18.95" customHeight="1">
      <c r="A33" s="190" t="s">
        <v>62</v>
      </c>
      <c r="B33" s="75">
        <v>26</v>
      </c>
      <c r="C33" s="160">
        <v>96</v>
      </c>
      <c r="D33" s="841">
        <v>101</v>
      </c>
      <c r="E33" s="144"/>
      <c r="F33" s="142">
        <v>12</v>
      </c>
      <c r="G33" s="823">
        <v>30</v>
      </c>
      <c r="H33" s="92">
        <f t="shared" si="7"/>
        <v>46.153846153846153</v>
      </c>
      <c r="I33" s="230">
        <f t="shared" si="8"/>
        <v>12.5</v>
      </c>
      <c r="J33" s="867">
        <f t="shared" si="3"/>
        <v>11.881188118811881</v>
      </c>
      <c r="K33" s="141">
        <v>1</v>
      </c>
      <c r="L33" s="143">
        <v>15</v>
      </c>
      <c r="M33" s="142">
        <v>7</v>
      </c>
      <c r="N33" s="800">
        <v>18</v>
      </c>
      <c r="O33" s="172">
        <f t="shared" si="9"/>
        <v>41</v>
      </c>
      <c r="P33" s="145">
        <f t="shared" si="10"/>
        <v>157.69230769230768</v>
      </c>
      <c r="Q33" s="242">
        <f t="shared" si="11"/>
        <v>41.666666666666671</v>
      </c>
      <c r="R33" s="890">
        <f t="shared" si="5"/>
        <v>39.603960396039604</v>
      </c>
      <c r="S33" s="307">
        <f t="shared" ref="S33:S59" si="12">SUM(E33:F33)</f>
        <v>12</v>
      </c>
      <c r="T33" s="309">
        <f t="shared" ref="T33:T59" si="13">+C33-S33</f>
        <v>84</v>
      </c>
      <c r="U33" s="125"/>
      <c r="V33" s="93"/>
      <c r="W33" s="93"/>
      <c r="X33" s="93"/>
      <c r="Y33" s="93"/>
    </row>
    <row r="34" spans="1:26" s="140" customFormat="1" ht="18.95" customHeight="1">
      <c r="A34" s="190" t="s">
        <v>63</v>
      </c>
      <c r="B34" s="75">
        <v>28</v>
      </c>
      <c r="C34" s="160">
        <v>103</v>
      </c>
      <c r="D34" s="841">
        <v>100</v>
      </c>
      <c r="E34" s="144">
        <v>57</v>
      </c>
      <c r="F34" s="142">
        <v>33</v>
      </c>
      <c r="G34" s="823">
        <v>9</v>
      </c>
      <c r="H34" s="92">
        <f t="shared" si="7"/>
        <v>174.85714285714286</v>
      </c>
      <c r="I34" s="230">
        <f t="shared" si="8"/>
        <v>89.038834951456323</v>
      </c>
      <c r="J34" s="867">
        <f t="shared" si="3"/>
        <v>90</v>
      </c>
      <c r="K34" s="141"/>
      <c r="L34" s="143"/>
      <c r="M34" s="142"/>
      <c r="N34" s="800">
        <v>1</v>
      </c>
      <c r="O34" s="144">
        <f t="shared" si="9"/>
        <v>1</v>
      </c>
      <c r="P34" s="145">
        <f t="shared" si="10"/>
        <v>3.5714285714285712</v>
      </c>
      <c r="Q34" s="242">
        <f t="shared" si="11"/>
        <v>0.97087378640776689</v>
      </c>
      <c r="R34" s="890">
        <f t="shared" si="5"/>
        <v>1</v>
      </c>
      <c r="S34" s="311">
        <f t="shared" si="12"/>
        <v>90</v>
      </c>
      <c r="T34" s="312">
        <f t="shared" si="13"/>
        <v>13</v>
      </c>
      <c r="U34" s="138"/>
      <c r="V34" s="138"/>
      <c r="W34" s="138"/>
      <c r="X34" s="138"/>
      <c r="Y34" s="138"/>
      <c r="Z34" s="139"/>
    </row>
    <row r="35" spans="1:26" s="140" customFormat="1" ht="18.95" customHeight="1">
      <c r="A35" s="190" t="s">
        <v>64</v>
      </c>
      <c r="B35" s="75">
        <v>35</v>
      </c>
      <c r="C35" s="160">
        <v>128</v>
      </c>
      <c r="D35" s="841">
        <v>132</v>
      </c>
      <c r="E35" s="144">
        <v>48</v>
      </c>
      <c r="F35" s="142">
        <v>39</v>
      </c>
      <c r="G35" s="823">
        <v>25</v>
      </c>
      <c r="H35" s="92">
        <f t="shared" si="7"/>
        <v>159.42857142857144</v>
      </c>
      <c r="I35" s="230">
        <f t="shared" si="8"/>
        <v>78.46875</v>
      </c>
      <c r="J35" s="867">
        <f t="shared" si="3"/>
        <v>65.909090909090907</v>
      </c>
      <c r="K35" s="141">
        <v>1</v>
      </c>
      <c r="L35" s="143">
        <v>7</v>
      </c>
      <c r="M35" s="142">
        <v>6</v>
      </c>
      <c r="N35" s="800">
        <v>1</v>
      </c>
      <c r="O35" s="144">
        <f t="shared" si="9"/>
        <v>15</v>
      </c>
      <c r="P35" s="145">
        <f t="shared" si="10"/>
        <v>42.857142857142854</v>
      </c>
      <c r="Q35" s="242">
        <f t="shared" si="11"/>
        <v>10.9375</v>
      </c>
      <c r="R35" s="890">
        <f t="shared" si="5"/>
        <v>10.606060606060606</v>
      </c>
      <c r="S35" s="311">
        <f t="shared" si="12"/>
        <v>87</v>
      </c>
      <c r="T35" s="312">
        <f t="shared" si="13"/>
        <v>41</v>
      </c>
      <c r="U35" s="138"/>
      <c r="V35" s="138"/>
      <c r="W35" s="138"/>
      <c r="X35" s="138"/>
      <c r="Y35" s="138"/>
      <c r="Z35" s="139"/>
    </row>
    <row r="36" spans="1:26" ht="18.95" customHeight="1">
      <c r="A36" s="190" t="s">
        <v>65</v>
      </c>
      <c r="B36" s="75">
        <v>35</v>
      </c>
      <c r="C36" s="160">
        <v>94</v>
      </c>
      <c r="D36" s="841">
        <v>88</v>
      </c>
      <c r="E36" s="144"/>
      <c r="F36" s="142">
        <v>16</v>
      </c>
      <c r="G36" s="823">
        <v>32</v>
      </c>
      <c r="H36" s="92">
        <f t="shared" si="7"/>
        <v>45.714285714285715</v>
      </c>
      <c r="I36" s="230">
        <f t="shared" si="8"/>
        <v>17.021276595744681</v>
      </c>
      <c r="J36" s="867">
        <f t="shared" si="3"/>
        <v>18.181818181818183</v>
      </c>
      <c r="K36" s="141">
        <v>3</v>
      </c>
      <c r="L36" s="143">
        <v>18</v>
      </c>
      <c r="M36" s="142">
        <v>6</v>
      </c>
      <c r="N36" s="800">
        <v>5</v>
      </c>
      <c r="O36" s="144">
        <f t="shared" si="9"/>
        <v>32</v>
      </c>
      <c r="P36" s="145">
        <f t="shared" si="10"/>
        <v>91.428571428571431</v>
      </c>
      <c r="Q36" s="242">
        <f t="shared" si="11"/>
        <v>30.851063829787233</v>
      </c>
      <c r="R36" s="890">
        <f t="shared" si="5"/>
        <v>32.954545454545453</v>
      </c>
      <c r="S36" s="307">
        <f t="shared" si="12"/>
        <v>16</v>
      </c>
      <c r="T36" s="309">
        <f t="shared" si="13"/>
        <v>78</v>
      </c>
      <c r="U36" s="93"/>
      <c r="V36" s="93"/>
      <c r="W36" s="93"/>
      <c r="X36" s="93"/>
      <c r="Y36" s="93"/>
    </row>
    <row r="37" spans="1:26" s="140" customFormat="1" ht="18.95" customHeight="1">
      <c r="A37" s="190" t="s">
        <v>66</v>
      </c>
      <c r="B37" s="75">
        <v>26</v>
      </c>
      <c r="C37" s="160">
        <v>132</v>
      </c>
      <c r="D37" s="841">
        <v>139</v>
      </c>
      <c r="E37" s="144">
        <v>67</v>
      </c>
      <c r="F37" s="142">
        <v>54</v>
      </c>
      <c r="G37" s="823">
        <v>12</v>
      </c>
      <c r="H37" s="92">
        <f t="shared" si="7"/>
        <v>274.69230769230774</v>
      </c>
      <c r="I37" s="230">
        <f t="shared" si="8"/>
        <v>107.90909090909091</v>
      </c>
      <c r="J37" s="867">
        <f t="shared" si="3"/>
        <v>87.050359712230218</v>
      </c>
      <c r="K37" s="141">
        <v>2</v>
      </c>
      <c r="L37" s="143">
        <v>1</v>
      </c>
      <c r="M37" s="142"/>
      <c r="N37" s="800">
        <v>1</v>
      </c>
      <c r="O37" s="144">
        <f t="shared" si="9"/>
        <v>4</v>
      </c>
      <c r="P37" s="145">
        <f t="shared" si="10"/>
        <v>15.384615384615385</v>
      </c>
      <c r="Q37" s="242">
        <f t="shared" si="11"/>
        <v>1.5151515151515151</v>
      </c>
      <c r="R37" s="890">
        <f t="shared" si="5"/>
        <v>1.4388489208633095</v>
      </c>
      <c r="S37" s="311">
        <f t="shared" si="12"/>
        <v>121</v>
      </c>
      <c r="T37" s="312">
        <f t="shared" si="13"/>
        <v>11</v>
      </c>
      <c r="U37" s="138"/>
      <c r="V37" s="138"/>
      <c r="W37" s="138"/>
      <c r="X37" s="138"/>
      <c r="Y37" s="138"/>
      <c r="Z37" s="139"/>
    </row>
    <row r="38" spans="1:26" s="140" customFormat="1" ht="18.95" customHeight="1">
      <c r="A38" s="190" t="s">
        <v>67</v>
      </c>
      <c r="B38" s="75">
        <v>17</v>
      </c>
      <c r="C38" s="160">
        <v>99</v>
      </c>
      <c r="D38" s="841">
        <v>101</v>
      </c>
      <c r="E38" s="144">
        <v>17</v>
      </c>
      <c r="F38" s="142">
        <v>18</v>
      </c>
      <c r="G38" s="823">
        <v>45</v>
      </c>
      <c r="H38" s="92">
        <f t="shared" si="7"/>
        <v>122.88235294117648</v>
      </c>
      <c r="I38" s="230">
        <f t="shared" si="8"/>
        <v>35.181818181818187</v>
      </c>
      <c r="J38" s="867">
        <f t="shared" si="3"/>
        <v>34.653465346534652</v>
      </c>
      <c r="K38" s="141"/>
      <c r="L38" s="143">
        <v>7</v>
      </c>
      <c r="M38" s="142">
        <v>3</v>
      </c>
      <c r="N38" s="800">
        <v>3</v>
      </c>
      <c r="O38" s="144">
        <f t="shared" si="9"/>
        <v>13</v>
      </c>
      <c r="P38" s="145">
        <f t="shared" si="10"/>
        <v>76.470588235294116</v>
      </c>
      <c r="Q38" s="242">
        <f t="shared" si="11"/>
        <v>13.131313131313133</v>
      </c>
      <c r="R38" s="890">
        <f t="shared" si="5"/>
        <v>12.871287128712872</v>
      </c>
      <c r="S38" s="311">
        <f t="shared" si="12"/>
        <v>35</v>
      </c>
      <c r="T38" s="312">
        <f t="shared" si="13"/>
        <v>64</v>
      </c>
      <c r="U38" s="138"/>
      <c r="V38" s="138"/>
      <c r="W38" s="138"/>
      <c r="X38" s="138"/>
      <c r="Y38" s="138"/>
      <c r="Z38" s="139"/>
    </row>
    <row r="39" spans="1:26" s="140" customFormat="1" ht="18.95" customHeight="1">
      <c r="A39" s="191" t="s">
        <v>68</v>
      </c>
      <c r="B39" s="75">
        <v>39</v>
      </c>
      <c r="C39" s="160">
        <v>99</v>
      </c>
      <c r="D39" s="841">
        <v>100</v>
      </c>
      <c r="E39" s="144">
        <v>63</v>
      </c>
      <c r="F39" s="142">
        <v>20</v>
      </c>
      <c r="G39" s="823">
        <v>12</v>
      </c>
      <c r="H39" s="92">
        <f t="shared" si="7"/>
        <v>114.28205128205127</v>
      </c>
      <c r="I39" s="230">
        <f t="shared" si="8"/>
        <v>83.202020202020208</v>
      </c>
      <c r="J39" s="867">
        <f t="shared" si="3"/>
        <v>83</v>
      </c>
      <c r="K39" s="141">
        <v>1</v>
      </c>
      <c r="L39" s="143">
        <v>2</v>
      </c>
      <c r="M39" s="142"/>
      <c r="N39" s="800">
        <v>1</v>
      </c>
      <c r="O39" s="144">
        <f t="shared" si="9"/>
        <v>4</v>
      </c>
      <c r="P39" s="145">
        <f t="shared" si="10"/>
        <v>10.256410256410255</v>
      </c>
      <c r="Q39" s="242">
        <f t="shared" si="11"/>
        <v>3.0303030303030303</v>
      </c>
      <c r="R39" s="890">
        <f t="shared" si="5"/>
        <v>3</v>
      </c>
      <c r="S39" s="311">
        <f t="shared" si="12"/>
        <v>83</v>
      </c>
      <c r="T39" s="312">
        <f t="shared" si="13"/>
        <v>16</v>
      </c>
      <c r="U39" s="138"/>
      <c r="V39" s="138"/>
      <c r="W39" s="138"/>
      <c r="X39" s="138"/>
      <c r="Y39" s="138"/>
      <c r="Z39" s="139"/>
    </row>
    <row r="40" spans="1:26" ht="18.95" customHeight="1">
      <c r="A40" s="191" t="s">
        <v>69</v>
      </c>
      <c r="B40" s="75">
        <v>32</v>
      </c>
      <c r="C40" s="160">
        <v>80</v>
      </c>
      <c r="D40" s="841">
        <v>88</v>
      </c>
      <c r="E40" s="144">
        <v>4</v>
      </c>
      <c r="F40" s="142">
        <v>16</v>
      </c>
      <c r="G40" s="823">
        <v>16</v>
      </c>
      <c r="H40" s="92">
        <f t="shared" si="7"/>
        <v>54</v>
      </c>
      <c r="I40" s="230">
        <f t="shared" si="8"/>
        <v>24</v>
      </c>
      <c r="J40" s="867">
        <f t="shared" si="3"/>
        <v>22.727272727272727</v>
      </c>
      <c r="K40" s="141">
        <v>1</v>
      </c>
      <c r="L40" s="143">
        <v>17</v>
      </c>
      <c r="M40" s="142">
        <v>10</v>
      </c>
      <c r="N40" s="800">
        <v>14</v>
      </c>
      <c r="O40" s="172">
        <f t="shared" si="9"/>
        <v>42</v>
      </c>
      <c r="P40" s="145">
        <f t="shared" si="10"/>
        <v>131.25</v>
      </c>
      <c r="Q40" s="242">
        <f t="shared" si="11"/>
        <v>51.249999999999993</v>
      </c>
      <c r="R40" s="890">
        <f t="shared" si="5"/>
        <v>46.590909090909086</v>
      </c>
      <c r="S40" s="307">
        <f t="shared" si="12"/>
        <v>20</v>
      </c>
      <c r="T40" s="309">
        <f t="shared" si="13"/>
        <v>60</v>
      </c>
      <c r="U40" s="125"/>
      <c r="V40" s="93"/>
      <c r="W40" s="93"/>
      <c r="X40" s="93"/>
      <c r="Y40" s="93"/>
    </row>
    <row r="41" spans="1:26" s="140" customFormat="1" ht="18.95" customHeight="1">
      <c r="A41" s="191" t="s">
        <v>70</v>
      </c>
      <c r="B41" s="75">
        <v>47</v>
      </c>
      <c r="C41" s="160">
        <v>131</v>
      </c>
      <c r="D41" s="841">
        <v>144</v>
      </c>
      <c r="E41" s="144">
        <v>66</v>
      </c>
      <c r="F41" s="142">
        <v>45</v>
      </c>
      <c r="G41" s="823">
        <v>25</v>
      </c>
      <c r="H41" s="92">
        <f t="shared" si="7"/>
        <v>161.74468085106383</v>
      </c>
      <c r="I41" s="230">
        <f t="shared" si="8"/>
        <v>100.35114503816794</v>
      </c>
      <c r="J41" s="867">
        <f t="shared" si="3"/>
        <v>77.083333333333343</v>
      </c>
      <c r="K41" s="141">
        <v>2</v>
      </c>
      <c r="L41" s="143">
        <v>2</v>
      </c>
      <c r="M41" s="142"/>
      <c r="N41" s="800"/>
      <c r="O41" s="144">
        <f t="shared" si="9"/>
        <v>4</v>
      </c>
      <c r="P41" s="145">
        <f t="shared" si="10"/>
        <v>8.5106382978723403</v>
      </c>
      <c r="Q41" s="242">
        <f t="shared" si="11"/>
        <v>1.5267175572519083</v>
      </c>
      <c r="R41" s="890">
        <f t="shared" si="5"/>
        <v>1.3888888888888888</v>
      </c>
      <c r="S41" s="311">
        <f t="shared" si="12"/>
        <v>111</v>
      </c>
      <c r="T41" s="312">
        <f t="shared" si="13"/>
        <v>20</v>
      </c>
      <c r="U41" s="138"/>
      <c r="V41" s="138"/>
      <c r="W41" s="138"/>
      <c r="X41" s="138"/>
      <c r="Y41" s="138"/>
      <c r="Z41" s="139"/>
    </row>
    <row r="42" spans="1:26" s="140" customFormat="1" ht="18.95" customHeight="1">
      <c r="A42" s="191" t="s">
        <v>71</v>
      </c>
      <c r="B42" s="75">
        <v>30</v>
      </c>
      <c r="C42" s="160">
        <v>124</v>
      </c>
      <c r="D42" s="841">
        <v>158</v>
      </c>
      <c r="E42" s="144">
        <v>44</v>
      </c>
      <c r="F42" s="142">
        <v>61</v>
      </c>
      <c r="G42" s="823">
        <v>38</v>
      </c>
      <c r="H42" s="92">
        <f t="shared" si="7"/>
        <v>247.33333333333331</v>
      </c>
      <c r="I42" s="230">
        <f t="shared" si="8"/>
        <v>93.193548387096769</v>
      </c>
      <c r="J42" s="867">
        <f t="shared" si="3"/>
        <v>66.455696202531641</v>
      </c>
      <c r="K42" s="141">
        <v>3</v>
      </c>
      <c r="L42" s="143">
        <v>2</v>
      </c>
      <c r="M42" s="142"/>
      <c r="N42" s="800">
        <v>1</v>
      </c>
      <c r="O42" s="144">
        <f t="shared" si="9"/>
        <v>6</v>
      </c>
      <c r="P42" s="145">
        <f t="shared" si="10"/>
        <v>20</v>
      </c>
      <c r="Q42" s="242">
        <f t="shared" si="11"/>
        <v>2.4193548387096775</v>
      </c>
      <c r="R42" s="890">
        <f t="shared" si="5"/>
        <v>1.89873417721519</v>
      </c>
      <c r="S42" s="311">
        <f t="shared" si="12"/>
        <v>105</v>
      </c>
      <c r="T42" s="312">
        <f t="shared" si="13"/>
        <v>19</v>
      </c>
      <c r="U42" s="138"/>
      <c r="V42" s="138"/>
      <c r="W42" s="138"/>
      <c r="X42" s="138"/>
      <c r="Y42" s="138"/>
      <c r="Z42" s="139"/>
    </row>
    <row r="43" spans="1:26" s="140" customFormat="1" ht="18.95" customHeight="1">
      <c r="A43" s="190" t="s">
        <v>72</v>
      </c>
      <c r="B43" s="75">
        <v>24</v>
      </c>
      <c r="C43" s="160">
        <v>96</v>
      </c>
      <c r="D43" s="841">
        <v>102</v>
      </c>
      <c r="E43" s="144">
        <v>13</v>
      </c>
      <c r="F43" s="142">
        <v>24</v>
      </c>
      <c r="G43" s="823">
        <v>52</v>
      </c>
      <c r="H43" s="92">
        <f t="shared" si="7"/>
        <v>113</v>
      </c>
      <c r="I43" s="230">
        <f t="shared" si="8"/>
        <v>38</v>
      </c>
      <c r="J43" s="867">
        <f t="shared" si="3"/>
        <v>36.274509803921568</v>
      </c>
      <c r="K43" s="141">
        <v>3</v>
      </c>
      <c r="L43" s="143">
        <v>7</v>
      </c>
      <c r="M43" s="142">
        <v>2</v>
      </c>
      <c r="N43" s="800"/>
      <c r="O43" s="172">
        <f t="shared" si="9"/>
        <v>12</v>
      </c>
      <c r="P43" s="145">
        <f t="shared" si="10"/>
        <v>50</v>
      </c>
      <c r="Q43" s="242">
        <f t="shared" si="11"/>
        <v>9.375</v>
      </c>
      <c r="R43" s="890">
        <f t="shared" si="5"/>
        <v>8.8235294117647065</v>
      </c>
      <c r="S43" s="311">
        <f t="shared" si="12"/>
        <v>37</v>
      </c>
      <c r="T43" s="312">
        <f t="shared" si="13"/>
        <v>59</v>
      </c>
      <c r="U43" s="138"/>
      <c r="V43" s="138"/>
      <c r="W43" s="138"/>
      <c r="X43" s="138"/>
      <c r="Y43" s="138"/>
      <c r="Z43" s="139"/>
    </row>
    <row r="44" spans="1:26" s="140" customFormat="1" ht="18.95" customHeight="1">
      <c r="A44" s="189" t="s">
        <v>73</v>
      </c>
      <c r="B44" s="75">
        <v>29</v>
      </c>
      <c r="C44" s="160">
        <v>97</v>
      </c>
      <c r="D44" s="841">
        <v>105</v>
      </c>
      <c r="E44" s="144">
        <v>10</v>
      </c>
      <c r="F44" s="142">
        <v>16</v>
      </c>
      <c r="G44" s="823">
        <v>47</v>
      </c>
      <c r="H44" s="92">
        <f t="shared" si="7"/>
        <v>65.172413793103445</v>
      </c>
      <c r="I44" s="230">
        <f t="shared" si="8"/>
        <v>26.494845360824741</v>
      </c>
      <c r="J44" s="867">
        <f t="shared" si="3"/>
        <v>24.761904761904763</v>
      </c>
      <c r="K44" s="141">
        <v>1</v>
      </c>
      <c r="L44" s="143">
        <v>14</v>
      </c>
      <c r="M44" s="142">
        <v>6</v>
      </c>
      <c r="N44" s="800">
        <v>4</v>
      </c>
      <c r="O44" s="144">
        <f t="shared" si="9"/>
        <v>25</v>
      </c>
      <c r="P44" s="145">
        <f t="shared" si="10"/>
        <v>86.206896551724128</v>
      </c>
      <c r="Q44" s="242">
        <f t="shared" si="11"/>
        <v>24.742268041237114</v>
      </c>
      <c r="R44" s="890">
        <f t="shared" si="5"/>
        <v>22.857142857142858</v>
      </c>
      <c r="S44" s="311">
        <f t="shared" si="12"/>
        <v>26</v>
      </c>
      <c r="T44" s="312">
        <f t="shared" si="13"/>
        <v>71</v>
      </c>
      <c r="U44" s="138"/>
      <c r="V44" s="138"/>
      <c r="W44" s="138"/>
      <c r="X44" s="138"/>
      <c r="Y44" s="138"/>
      <c r="Z44" s="139"/>
    </row>
    <row r="45" spans="1:26" s="140" customFormat="1" ht="18.95" customHeight="1">
      <c r="A45" s="190" t="s">
        <v>74</v>
      </c>
      <c r="B45" s="75">
        <v>32</v>
      </c>
      <c r="C45" s="160">
        <v>97</v>
      </c>
      <c r="D45" s="841">
        <v>103</v>
      </c>
      <c r="E45" s="144">
        <v>1</v>
      </c>
      <c r="F45" s="142">
        <v>86</v>
      </c>
      <c r="G45" s="823">
        <v>10</v>
      </c>
      <c r="H45" s="92">
        <f t="shared" si="7"/>
        <v>269.75</v>
      </c>
      <c r="I45" s="230">
        <f t="shared" si="8"/>
        <v>89.659793814432987</v>
      </c>
      <c r="J45" s="867">
        <f t="shared" si="3"/>
        <v>84.466019417475721</v>
      </c>
      <c r="K45" s="141"/>
      <c r="L45" s="143">
        <v>5</v>
      </c>
      <c r="M45" s="142">
        <v>1</v>
      </c>
      <c r="N45" s="800"/>
      <c r="O45" s="144">
        <f t="shared" si="9"/>
        <v>6</v>
      </c>
      <c r="P45" s="145">
        <f t="shared" si="10"/>
        <v>18.75</v>
      </c>
      <c r="Q45" s="242">
        <f t="shared" si="11"/>
        <v>6.1855670103092786</v>
      </c>
      <c r="R45" s="890">
        <f t="shared" si="5"/>
        <v>5.825242718446602</v>
      </c>
      <c r="S45" s="311">
        <f t="shared" si="12"/>
        <v>87</v>
      </c>
      <c r="T45" s="312">
        <f t="shared" si="13"/>
        <v>10</v>
      </c>
      <c r="U45" s="138"/>
      <c r="V45" s="138"/>
      <c r="W45" s="138"/>
      <c r="X45" s="138"/>
      <c r="Y45" s="138"/>
      <c r="Z45" s="139"/>
    </row>
    <row r="46" spans="1:26" s="140" customFormat="1" ht="18.95" customHeight="1">
      <c r="A46" s="190" t="s">
        <v>75</v>
      </c>
      <c r="B46" s="75">
        <v>39</v>
      </c>
      <c r="C46" s="160">
        <v>75</v>
      </c>
      <c r="D46" s="841">
        <v>75</v>
      </c>
      <c r="E46" s="144">
        <v>1</v>
      </c>
      <c r="F46" s="142">
        <v>53</v>
      </c>
      <c r="G46" s="823">
        <v>13</v>
      </c>
      <c r="H46" s="92">
        <f t="shared" si="7"/>
        <v>136.89743589743591</v>
      </c>
      <c r="I46" s="230">
        <f t="shared" si="8"/>
        <v>71.666666666666671</v>
      </c>
      <c r="J46" s="867">
        <f t="shared" si="3"/>
        <v>72</v>
      </c>
      <c r="K46" s="141"/>
      <c r="L46" s="143">
        <v>6</v>
      </c>
      <c r="M46" s="142"/>
      <c r="N46" s="800"/>
      <c r="O46" s="172">
        <f t="shared" si="9"/>
        <v>6</v>
      </c>
      <c r="P46" s="145">
        <f t="shared" si="10"/>
        <v>15.384615384615385</v>
      </c>
      <c r="Q46" s="242">
        <f t="shared" si="11"/>
        <v>8</v>
      </c>
      <c r="R46" s="890">
        <f t="shared" si="5"/>
        <v>8</v>
      </c>
      <c r="S46" s="311">
        <f t="shared" si="12"/>
        <v>54</v>
      </c>
      <c r="T46" s="312">
        <f t="shared" si="13"/>
        <v>21</v>
      </c>
      <c r="U46" s="138"/>
      <c r="V46" s="138"/>
      <c r="W46" s="138"/>
      <c r="X46" s="138"/>
      <c r="Y46" s="138"/>
      <c r="Z46" s="139"/>
    </row>
    <row r="47" spans="1:26" s="140" customFormat="1" ht="18.95" customHeight="1">
      <c r="A47" s="191" t="s">
        <v>76</v>
      </c>
      <c r="B47" s="75"/>
      <c r="C47" s="160"/>
      <c r="D47" s="841"/>
      <c r="E47" s="144"/>
      <c r="F47" s="142">
        <v>4</v>
      </c>
      <c r="G47" s="823">
        <v>1</v>
      </c>
      <c r="H47" s="92"/>
      <c r="I47" s="230"/>
      <c r="J47" s="867"/>
      <c r="K47" s="141"/>
      <c r="L47" s="143"/>
      <c r="M47" s="142"/>
      <c r="N47" s="800"/>
      <c r="O47" s="172"/>
      <c r="P47" s="145"/>
      <c r="Q47" s="242"/>
      <c r="R47" s="890"/>
      <c r="S47" s="311"/>
      <c r="T47" s="312"/>
      <c r="U47" s="138"/>
      <c r="V47" s="138"/>
      <c r="W47" s="138"/>
      <c r="X47" s="138"/>
      <c r="Y47" s="138"/>
      <c r="Z47" s="139"/>
    </row>
    <row r="48" spans="1:26" s="140" customFormat="1" ht="18.95" customHeight="1">
      <c r="A48" s="191" t="s">
        <v>77</v>
      </c>
      <c r="B48" s="75">
        <v>27</v>
      </c>
      <c r="C48" s="160">
        <v>75</v>
      </c>
      <c r="D48" s="841">
        <v>73</v>
      </c>
      <c r="E48" s="144">
        <v>1</v>
      </c>
      <c r="F48" s="142">
        <v>16</v>
      </c>
      <c r="G48" s="823">
        <v>29</v>
      </c>
      <c r="H48" s="92">
        <f t="shared" si="7"/>
        <v>60.259259259259252</v>
      </c>
      <c r="I48" s="230">
        <f t="shared" si="8"/>
        <v>22.333333333333336</v>
      </c>
      <c r="J48" s="867">
        <f t="shared" si="3"/>
        <v>23.287671232876711</v>
      </c>
      <c r="K48" s="141">
        <v>1</v>
      </c>
      <c r="L48" s="143">
        <v>5</v>
      </c>
      <c r="M48" s="142">
        <v>6</v>
      </c>
      <c r="N48" s="800">
        <v>4</v>
      </c>
      <c r="O48" s="144">
        <f t="shared" si="9"/>
        <v>16</v>
      </c>
      <c r="P48" s="145">
        <f t="shared" ref="P48:P53" si="14">O48/B48*100</f>
        <v>59.259259259259252</v>
      </c>
      <c r="Q48" s="242">
        <f t="shared" ref="Q48:Q54" si="15">(O48-K48)/C48*100</f>
        <v>20</v>
      </c>
      <c r="R48" s="890">
        <f>(O48-K48)/D48*100</f>
        <v>20.547945205479451</v>
      </c>
      <c r="S48" s="311">
        <f t="shared" si="12"/>
        <v>17</v>
      </c>
      <c r="T48" s="312">
        <f t="shared" si="13"/>
        <v>58</v>
      </c>
      <c r="U48" s="138"/>
      <c r="V48" s="138"/>
      <c r="W48" s="138"/>
      <c r="X48" s="138"/>
      <c r="Y48" s="138"/>
      <c r="Z48" s="139"/>
    </row>
    <row r="49" spans="1:26" s="140" customFormat="1" ht="18.95" customHeight="1">
      <c r="A49" s="190" t="s">
        <v>78</v>
      </c>
      <c r="B49" s="75">
        <v>33</v>
      </c>
      <c r="C49" s="160">
        <v>100</v>
      </c>
      <c r="D49" s="841">
        <v>105</v>
      </c>
      <c r="E49" s="144">
        <v>17</v>
      </c>
      <c r="F49" s="142">
        <v>34</v>
      </c>
      <c r="G49" s="823">
        <v>38</v>
      </c>
      <c r="H49" s="92">
        <f t="shared" si="7"/>
        <v>120.03030303030303</v>
      </c>
      <c r="I49" s="230">
        <f t="shared" si="8"/>
        <v>51</v>
      </c>
      <c r="J49" s="867">
        <f t="shared" si="3"/>
        <v>48.571428571428569</v>
      </c>
      <c r="K49" s="141">
        <v>2</v>
      </c>
      <c r="L49" s="143">
        <v>4</v>
      </c>
      <c r="M49" s="142">
        <v>1</v>
      </c>
      <c r="N49" s="800">
        <v>2</v>
      </c>
      <c r="O49" s="144">
        <f t="shared" si="9"/>
        <v>9</v>
      </c>
      <c r="P49" s="145">
        <f t="shared" si="14"/>
        <v>27.27272727272727</v>
      </c>
      <c r="Q49" s="242">
        <f t="shared" si="15"/>
        <v>7.0000000000000009</v>
      </c>
      <c r="R49" s="890">
        <f t="shared" si="5"/>
        <v>6.666666666666667</v>
      </c>
      <c r="S49" s="311">
        <f t="shared" si="12"/>
        <v>51</v>
      </c>
      <c r="T49" s="312">
        <f t="shared" si="13"/>
        <v>49</v>
      </c>
      <c r="U49" s="138"/>
      <c r="V49" s="138"/>
      <c r="W49" s="138"/>
      <c r="X49" s="138"/>
      <c r="Y49" s="138"/>
      <c r="Z49" s="139"/>
    </row>
    <row r="50" spans="1:26" s="140" customFormat="1" ht="18.95" customHeight="1">
      <c r="A50" s="189" t="s">
        <v>79</v>
      </c>
      <c r="B50" s="75">
        <v>128</v>
      </c>
      <c r="C50" s="160">
        <v>77</v>
      </c>
      <c r="D50" s="841">
        <v>128</v>
      </c>
      <c r="E50" s="144">
        <v>31</v>
      </c>
      <c r="F50" s="142">
        <v>10</v>
      </c>
      <c r="G50" s="823">
        <v>19</v>
      </c>
      <c r="H50" s="92">
        <f t="shared" si="7"/>
        <v>38.8125</v>
      </c>
      <c r="I50" s="230">
        <f t="shared" si="8"/>
        <v>43.987012987012989</v>
      </c>
      <c r="J50" s="867">
        <f t="shared" si="3"/>
        <v>32.03125</v>
      </c>
      <c r="K50" s="141">
        <v>43</v>
      </c>
      <c r="L50" s="143">
        <v>14</v>
      </c>
      <c r="M50" s="142">
        <v>6</v>
      </c>
      <c r="N50" s="800">
        <v>1</v>
      </c>
      <c r="O50" s="144">
        <f t="shared" si="9"/>
        <v>64</v>
      </c>
      <c r="P50" s="145">
        <f t="shared" si="14"/>
        <v>50</v>
      </c>
      <c r="Q50" s="242">
        <f t="shared" si="15"/>
        <v>27.27272727272727</v>
      </c>
      <c r="R50" s="890">
        <f t="shared" si="5"/>
        <v>16.40625</v>
      </c>
      <c r="S50" s="311">
        <f t="shared" si="12"/>
        <v>41</v>
      </c>
      <c r="T50" s="312">
        <f t="shared" si="13"/>
        <v>36</v>
      </c>
      <c r="U50" s="138"/>
      <c r="V50" s="138"/>
      <c r="W50" s="138"/>
      <c r="X50" s="138"/>
      <c r="Y50" s="138"/>
      <c r="Z50" s="139"/>
    </row>
    <row r="51" spans="1:26" s="140" customFormat="1" ht="18.95" customHeight="1">
      <c r="A51" s="190" t="s">
        <v>80</v>
      </c>
      <c r="B51" s="75">
        <v>27</v>
      </c>
      <c r="C51" s="160">
        <v>74</v>
      </c>
      <c r="D51" s="841">
        <v>76</v>
      </c>
      <c r="E51" s="144">
        <v>15</v>
      </c>
      <c r="F51" s="142">
        <v>32</v>
      </c>
      <c r="G51" s="823">
        <v>20</v>
      </c>
      <c r="H51" s="92">
        <f t="shared" si="7"/>
        <v>133.5185185185185</v>
      </c>
      <c r="I51" s="230">
        <f t="shared" si="8"/>
        <v>58.243243243243242</v>
      </c>
      <c r="J51" s="867">
        <f t="shared" si="3"/>
        <v>61.842105263157897</v>
      </c>
      <c r="K51" s="141"/>
      <c r="L51" s="143">
        <v>3</v>
      </c>
      <c r="M51" s="142">
        <v>1</v>
      </c>
      <c r="N51" s="800">
        <v>2</v>
      </c>
      <c r="O51" s="144">
        <f t="shared" si="9"/>
        <v>6</v>
      </c>
      <c r="P51" s="145">
        <f t="shared" si="14"/>
        <v>22.222222222222221</v>
      </c>
      <c r="Q51" s="242">
        <f t="shared" si="15"/>
        <v>8.1081081081081088</v>
      </c>
      <c r="R51" s="890">
        <f t="shared" si="5"/>
        <v>7.8947368421052628</v>
      </c>
      <c r="S51" s="311">
        <f t="shared" si="12"/>
        <v>47</v>
      </c>
      <c r="T51" s="312">
        <f t="shared" si="13"/>
        <v>27</v>
      </c>
      <c r="U51" s="138"/>
      <c r="V51" s="138"/>
      <c r="W51" s="138"/>
      <c r="X51" s="138"/>
      <c r="Y51" s="138"/>
      <c r="Z51" s="139"/>
    </row>
    <row r="52" spans="1:26" s="140" customFormat="1" ht="18.95" customHeight="1">
      <c r="A52" s="190" t="s">
        <v>81</v>
      </c>
      <c r="B52" s="75">
        <v>26</v>
      </c>
      <c r="C52" s="160">
        <v>79</v>
      </c>
      <c r="D52" s="841">
        <v>76</v>
      </c>
      <c r="E52" s="144">
        <v>26</v>
      </c>
      <c r="F52" s="142">
        <v>20</v>
      </c>
      <c r="G52" s="823">
        <v>24</v>
      </c>
      <c r="H52" s="92">
        <f t="shared" si="7"/>
        <v>102.92307692307693</v>
      </c>
      <c r="I52" s="230">
        <f t="shared" si="8"/>
        <v>51.316455696202532</v>
      </c>
      <c r="J52" s="867">
        <f t="shared" si="3"/>
        <v>60.526315789473685</v>
      </c>
      <c r="K52" s="141">
        <v>1</v>
      </c>
      <c r="L52" s="143"/>
      <c r="M52" s="142">
        <v>1</v>
      </c>
      <c r="N52" s="800"/>
      <c r="O52" s="144">
        <f t="shared" si="9"/>
        <v>2</v>
      </c>
      <c r="P52" s="145">
        <f t="shared" si="14"/>
        <v>7.6923076923076925</v>
      </c>
      <c r="Q52" s="242">
        <f t="shared" si="15"/>
        <v>1.2658227848101267</v>
      </c>
      <c r="R52" s="890">
        <f t="shared" si="5"/>
        <v>1.3157894736842104</v>
      </c>
      <c r="S52" s="311">
        <f t="shared" si="12"/>
        <v>46</v>
      </c>
      <c r="T52" s="312">
        <f t="shared" si="13"/>
        <v>33</v>
      </c>
      <c r="U52" s="138"/>
      <c r="V52" s="138"/>
      <c r="W52" s="138"/>
      <c r="X52" s="138"/>
      <c r="Y52" s="138"/>
      <c r="Z52" s="139"/>
    </row>
    <row r="53" spans="1:26" s="140" customFormat="1" ht="18.95" customHeight="1">
      <c r="A53" s="190" t="s">
        <v>82</v>
      </c>
      <c r="B53" s="75">
        <v>14</v>
      </c>
      <c r="C53" s="160">
        <v>74</v>
      </c>
      <c r="D53" s="841">
        <v>76</v>
      </c>
      <c r="E53" s="144">
        <v>6</v>
      </c>
      <c r="F53" s="142">
        <v>14</v>
      </c>
      <c r="G53" s="823">
        <v>17</v>
      </c>
      <c r="H53" s="92">
        <f t="shared" si="7"/>
        <v>106</v>
      </c>
      <c r="I53" s="230">
        <f t="shared" si="8"/>
        <v>24.918918918918919</v>
      </c>
      <c r="J53" s="867">
        <f t="shared" si="3"/>
        <v>26.315789473684209</v>
      </c>
      <c r="K53" s="141"/>
      <c r="L53" s="143">
        <v>11</v>
      </c>
      <c r="M53" s="142">
        <v>8</v>
      </c>
      <c r="N53" s="800">
        <v>7</v>
      </c>
      <c r="O53" s="144">
        <f t="shared" si="9"/>
        <v>26</v>
      </c>
      <c r="P53" s="145">
        <f t="shared" si="14"/>
        <v>185.71428571428572</v>
      </c>
      <c r="Q53" s="242">
        <f t="shared" si="15"/>
        <v>35.135135135135137</v>
      </c>
      <c r="R53" s="890">
        <f t="shared" si="5"/>
        <v>34.210526315789473</v>
      </c>
      <c r="S53" s="311">
        <f t="shared" si="12"/>
        <v>20</v>
      </c>
      <c r="T53" s="312">
        <f t="shared" si="13"/>
        <v>54</v>
      </c>
      <c r="U53" s="138"/>
      <c r="V53" s="138"/>
      <c r="W53" s="138"/>
      <c r="X53" s="138"/>
      <c r="Y53" s="138"/>
      <c r="Z53" s="139"/>
    </row>
    <row r="54" spans="1:26" s="140" customFormat="1" ht="18.95" customHeight="1">
      <c r="A54" s="191" t="s">
        <v>83</v>
      </c>
      <c r="B54" s="75"/>
      <c r="C54" s="160">
        <v>74</v>
      </c>
      <c r="D54" s="841">
        <v>68</v>
      </c>
      <c r="E54" s="144"/>
      <c r="F54" s="142">
        <v>4</v>
      </c>
      <c r="G54" s="823">
        <v>36</v>
      </c>
      <c r="H54" s="92"/>
      <c r="I54" s="230">
        <f t="shared" si="8"/>
        <v>5.4054054054054053</v>
      </c>
      <c r="J54" s="867">
        <f t="shared" si="3"/>
        <v>5.8823529411764701</v>
      </c>
      <c r="K54" s="141"/>
      <c r="L54" s="143">
        <v>14</v>
      </c>
      <c r="M54" s="142">
        <v>8</v>
      </c>
      <c r="N54" s="800"/>
      <c r="O54" s="144">
        <f t="shared" si="9"/>
        <v>22</v>
      </c>
      <c r="P54" s="145"/>
      <c r="Q54" s="242">
        <f t="shared" si="15"/>
        <v>29.72972972972973</v>
      </c>
      <c r="R54" s="890">
        <f t="shared" si="5"/>
        <v>32.352941176470587</v>
      </c>
      <c r="S54" s="311"/>
      <c r="T54" s="312"/>
      <c r="U54" s="138"/>
      <c r="V54" s="138"/>
      <c r="W54" s="138"/>
      <c r="X54" s="138"/>
      <c r="Y54" s="138"/>
      <c r="Z54" s="139"/>
    </row>
    <row r="55" spans="1:26" s="140" customFormat="1" ht="18.95" customHeight="1">
      <c r="A55" s="192" t="s">
        <v>84</v>
      </c>
      <c r="B55" s="75"/>
      <c r="C55" s="160"/>
      <c r="D55" s="841"/>
      <c r="E55" s="144"/>
      <c r="F55" s="142"/>
      <c r="G55" s="823"/>
      <c r="H55" s="92"/>
      <c r="I55" s="230"/>
      <c r="J55" s="867"/>
      <c r="K55" s="141"/>
      <c r="L55" s="143"/>
      <c r="M55" s="142"/>
      <c r="N55" s="800"/>
      <c r="O55" s="144">
        <f t="shared" si="9"/>
        <v>0</v>
      </c>
      <c r="P55" s="145"/>
      <c r="Q55" s="242"/>
      <c r="R55" s="890"/>
      <c r="S55" s="311">
        <f t="shared" si="12"/>
        <v>0</v>
      </c>
      <c r="T55" s="312">
        <f t="shared" si="13"/>
        <v>0</v>
      </c>
      <c r="U55" s="138"/>
      <c r="V55" s="138"/>
      <c r="W55" s="138"/>
      <c r="X55" s="138"/>
      <c r="Y55" s="138"/>
      <c r="Z55" s="139"/>
    </row>
    <row r="56" spans="1:26" s="140" customFormat="1" ht="18.95" customHeight="1">
      <c r="A56" s="192" t="s">
        <v>85</v>
      </c>
      <c r="B56" s="75"/>
      <c r="C56" s="160"/>
      <c r="D56" s="841"/>
      <c r="E56" s="35"/>
      <c r="F56" s="42"/>
      <c r="G56" s="817"/>
      <c r="H56" s="92"/>
      <c r="I56" s="230"/>
      <c r="J56" s="867"/>
      <c r="K56" s="55"/>
      <c r="L56" s="41"/>
      <c r="M56" s="42"/>
      <c r="N56" s="790"/>
      <c r="O56" s="35">
        <f t="shared" si="9"/>
        <v>0</v>
      </c>
      <c r="P56" s="145"/>
      <c r="Q56" s="242"/>
      <c r="R56" s="890"/>
      <c r="S56" s="311">
        <f t="shared" si="12"/>
        <v>0</v>
      </c>
      <c r="T56" s="312">
        <f t="shared" si="13"/>
        <v>0</v>
      </c>
      <c r="U56" s="138"/>
      <c r="V56" s="138"/>
      <c r="W56" s="138"/>
      <c r="X56" s="138"/>
      <c r="Y56" s="138"/>
      <c r="Z56" s="139"/>
    </row>
    <row r="57" spans="1:26" s="140" customFormat="1" ht="18.95" customHeight="1">
      <c r="A57" s="192" t="s">
        <v>86</v>
      </c>
      <c r="B57" s="75"/>
      <c r="C57" s="160"/>
      <c r="D57" s="841"/>
      <c r="E57" s="35"/>
      <c r="F57" s="42"/>
      <c r="G57" s="817"/>
      <c r="H57" s="92"/>
      <c r="I57" s="230"/>
      <c r="J57" s="867"/>
      <c r="K57" s="55"/>
      <c r="L57" s="41"/>
      <c r="M57" s="42"/>
      <c r="N57" s="790"/>
      <c r="O57" s="173">
        <f t="shared" si="9"/>
        <v>0</v>
      </c>
      <c r="P57" s="145"/>
      <c r="Q57" s="242"/>
      <c r="R57" s="890"/>
      <c r="S57" s="311">
        <f t="shared" si="12"/>
        <v>0</v>
      </c>
      <c r="T57" s="312">
        <f t="shared" si="13"/>
        <v>0</v>
      </c>
      <c r="U57" s="138"/>
      <c r="V57" s="138"/>
      <c r="W57" s="138"/>
      <c r="X57" s="138"/>
      <c r="Y57" s="138"/>
      <c r="Z57" s="139"/>
    </row>
    <row r="58" spans="1:26" s="140" customFormat="1" ht="18.95" customHeight="1">
      <c r="A58" s="192" t="s">
        <v>87</v>
      </c>
      <c r="B58" s="75"/>
      <c r="C58" s="160">
        <v>5</v>
      </c>
      <c r="D58" s="841"/>
      <c r="E58" s="35"/>
      <c r="F58" s="42"/>
      <c r="G58" s="817"/>
      <c r="H58" s="92"/>
      <c r="I58" s="230"/>
      <c r="J58" s="867"/>
      <c r="K58" s="55"/>
      <c r="L58" s="41"/>
      <c r="M58" s="42"/>
      <c r="N58" s="790"/>
      <c r="O58" s="35">
        <f t="shared" si="9"/>
        <v>0</v>
      </c>
      <c r="P58" s="145"/>
      <c r="Q58" s="242"/>
      <c r="R58" s="890"/>
      <c r="S58" s="311">
        <f t="shared" si="12"/>
        <v>0</v>
      </c>
      <c r="T58" s="312">
        <f t="shared" si="13"/>
        <v>5</v>
      </c>
      <c r="U58" s="138"/>
      <c r="V58" s="138"/>
      <c r="W58" s="138"/>
      <c r="X58" s="138"/>
      <c r="Y58" s="138"/>
      <c r="Z58" s="139"/>
    </row>
    <row r="59" spans="1:26" s="140" customFormat="1" ht="18.95" customHeight="1">
      <c r="A59" s="192" t="s">
        <v>88</v>
      </c>
      <c r="B59" s="75"/>
      <c r="C59" s="160"/>
      <c r="D59" s="841"/>
      <c r="E59" s="35"/>
      <c r="F59" s="42"/>
      <c r="G59" s="817"/>
      <c r="H59" s="208"/>
      <c r="I59" s="251"/>
      <c r="J59" s="859"/>
      <c r="K59" s="55"/>
      <c r="L59" s="41"/>
      <c r="M59" s="42"/>
      <c r="N59" s="790"/>
      <c r="O59" s="35">
        <f t="shared" si="9"/>
        <v>0</v>
      </c>
      <c r="P59" s="84"/>
      <c r="Q59" s="235"/>
      <c r="R59" s="881"/>
      <c r="S59" s="311">
        <f t="shared" si="12"/>
        <v>0</v>
      </c>
      <c r="T59" s="312">
        <f t="shared" si="13"/>
        <v>0</v>
      </c>
      <c r="U59" s="138"/>
      <c r="V59" s="138"/>
      <c r="W59" s="138"/>
      <c r="X59" s="138"/>
      <c r="Y59" s="138"/>
      <c r="Z59" s="139"/>
    </row>
    <row r="60" spans="1:26" ht="18.95" customHeight="1" thickBot="1">
      <c r="A60" s="170" t="s">
        <v>12</v>
      </c>
      <c r="B60" s="71">
        <f t="shared" ref="B60:G60" si="16">SUM(B30:B59)</f>
        <v>2445</v>
      </c>
      <c r="C60" s="209">
        <f t="shared" si="16"/>
        <v>2107</v>
      </c>
      <c r="D60" s="837">
        <f t="shared" si="16"/>
        <v>2450</v>
      </c>
      <c r="E60" s="71">
        <f t="shared" si="16"/>
        <v>493</v>
      </c>
      <c r="F60" s="137">
        <f t="shared" si="16"/>
        <v>658</v>
      </c>
      <c r="G60" s="813">
        <f t="shared" si="16"/>
        <v>587</v>
      </c>
      <c r="H60" s="211">
        <f>E60+F60/B60*100</f>
        <v>519.9120654396728</v>
      </c>
      <c r="I60" s="137">
        <f>E60+F60/C60*100</f>
        <v>524.22923588039862</v>
      </c>
      <c r="J60" s="861">
        <f t="shared" si="3"/>
        <v>46.979591836734699</v>
      </c>
      <c r="K60" s="12">
        <f>SUM(K30:K59)</f>
        <v>205</v>
      </c>
      <c r="L60" s="21">
        <f>SUM(L30:L59)</f>
        <v>238</v>
      </c>
      <c r="M60" s="27">
        <f>SUM(M30:M59)</f>
        <v>80</v>
      </c>
      <c r="N60" s="788">
        <f>SUM(N30:N59)</f>
        <v>67</v>
      </c>
      <c r="O60" s="171">
        <f>SUM(O30:O59)</f>
        <v>590</v>
      </c>
      <c r="P60" s="78">
        <f>O60/B60*100</f>
        <v>24.130879345603272</v>
      </c>
      <c r="Q60" s="232">
        <f>(O60-K60)/C60*100</f>
        <v>18.272425249169437</v>
      </c>
      <c r="R60" s="883">
        <f>(O60)/D60*100</f>
        <v>24.081632653061224</v>
      </c>
      <c r="S60" s="307"/>
      <c r="T60" s="309"/>
      <c r="U60" s="93"/>
      <c r="V60" s="93"/>
      <c r="W60" s="93"/>
      <c r="X60" s="93"/>
      <c r="Y60" s="93"/>
    </row>
    <row r="61" spans="1:26" ht="18.95" customHeight="1">
      <c r="A61" s="1" t="s">
        <v>13</v>
      </c>
      <c r="B61" s="74"/>
      <c r="C61" s="159"/>
      <c r="D61" s="842"/>
      <c r="E61" s="38"/>
      <c r="F61" s="54"/>
      <c r="G61" s="818"/>
      <c r="H61" s="89"/>
      <c r="I61" s="54"/>
      <c r="J61" s="862"/>
      <c r="K61" s="52"/>
      <c r="L61" s="53"/>
      <c r="M61" s="54"/>
      <c r="N61" s="794"/>
      <c r="O61" s="38">
        <f t="shared" si="9"/>
        <v>0</v>
      </c>
      <c r="P61" s="82"/>
      <c r="Q61" s="237"/>
      <c r="R61" s="884"/>
      <c r="S61" s="304" t="s">
        <v>35</v>
      </c>
      <c r="T61" s="304" t="s">
        <v>36</v>
      </c>
      <c r="U61" s="93"/>
      <c r="V61" s="93"/>
      <c r="W61" s="93"/>
      <c r="X61" s="93"/>
      <c r="Y61" s="93"/>
    </row>
    <row r="62" spans="1:26" ht="18.95" customHeight="1">
      <c r="A62" s="2" t="s">
        <v>46</v>
      </c>
      <c r="B62" s="121">
        <v>60</v>
      </c>
      <c r="C62" s="161">
        <v>60</v>
      </c>
      <c r="D62" s="844">
        <v>60</v>
      </c>
      <c r="E62" s="37"/>
      <c r="F62" s="57">
        <v>53</v>
      </c>
      <c r="G62" s="820">
        <v>3</v>
      </c>
      <c r="H62" s="176">
        <f>E62+F62/B62*100</f>
        <v>88.333333333333329</v>
      </c>
      <c r="I62" s="230">
        <f>E62+F62/C62*100</f>
        <v>88.333333333333329</v>
      </c>
      <c r="J62" s="863">
        <f t="shared" si="3"/>
        <v>88.333333333333329</v>
      </c>
      <c r="K62" s="43"/>
      <c r="L62" s="56"/>
      <c r="M62" s="57"/>
      <c r="N62" s="796"/>
      <c r="O62" s="37">
        <f t="shared" si="9"/>
        <v>0</v>
      </c>
      <c r="P62" s="80"/>
      <c r="Q62" s="238"/>
      <c r="R62" s="891">
        <f t="shared" si="5"/>
        <v>0</v>
      </c>
      <c r="S62" s="307">
        <f t="shared" ref="S62:S70" si="17">SUM(E62:F62)</f>
        <v>53</v>
      </c>
      <c r="T62" s="309">
        <f t="shared" ref="T62:T68" si="18">+C62-S62</f>
        <v>7</v>
      </c>
      <c r="U62" s="93"/>
      <c r="V62" s="93"/>
      <c r="W62" s="93"/>
      <c r="X62" s="93"/>
      <c r="Y62" s="93"/>
    </row>
    <row r="63" spans="1:26" ht="18.95" customHeight="1" thickBot="1">
      <c r="A63" s="5" t="s">
        <v>14</v>
      </c>
      <c r="B63" s="71">
        <f t="shared" ref="B63:G63" si="19">SUM(B62)</f>
        <v>60</v>
      </c>
      <c r="C63" s="209">
        <f t="shared" si="19"/>
        <v>60</v>
      </c>
      <c r="D63" s="837">
        <f t="shared" si="19"/>
        <v>60</v>
      </c>
      <c r="E63" s="71">
        <f t="shared" si="19"/>
        <v>0</v>
      </c>
      <c r="F63" s="137">
        <f t="shared" si="19"/>
        <v>53</v>
      </c>
      <c r="G63" s="813">
        <f t="shared" si="19"/>
        <v>3</v>
      </c>
      <c r="H63" s="155"/>
      <c r="I63" s="248"/>
      <c r="J63" s="861">
        <f t="shared" si="3"/>
        <v>88.333333333333329</v>
      </c>
      <c r="K63" s="12"/>
      <c r="L63" s="21"/>
      <c r="M63" s="27"/>
      <c r="N63" s="788"/>
      <c r="O63" s="15">
        <f t="shared" si="9"/>
        <v>0</v>
      </c>
      <c r="P63" s="78"/>
      <c r="Q63" s="232"/>
      <c r="R63" s="892">
        <v>0</v>
      </c>
      <c r="S63" s="307">
        <f t="shared" si="17"/>
        <v>53</v>
      </c>
      <c r="T63" s="309">
        <f t="shared" si="18"/>
        <v>7</v>
      </c>
      <c r="U63" s="93"/>
      <c r="V63" s="93"/>
      <c r="W63" s="93"/>
      <c r="X63" s="93"/>
      <c r="Y63" s="93"/>
    </row>
    <row r="64" spans="1:26" ht="18.95" customHeight="1">
      <c r="A64" s="198" t="s">
        <v>55</v>
      </c>
      <c r="B64" s="121"/>
      <c r="C64" s="161"/>
      <c r="D64" s="844"/>
      <c r="E64" s="37"/>
      <c r="F64" s="57"/>
      <c r="G64" s="820"/>
      <c r="H64" s="197"/>
      <c r="I64" s="252"/>
      <c r="J64" s="863"/>
      <c r="K64" s="43"/>
      <c r="L64" s="56"/>
      <c r="M64" s="57"/>
      <c r="N64" s="796"/>
      <c r="O64" s="37">
        <f t="shared" si="9"/>
        <v>0</v>
      </c>
      <c r="P64" s="80"/>
      <c r="Q64" s="238"/>
      <c r="R64" s="886"/>
      <c r="S64" s="307"/>
      <c r="T64" s="309"/>
      <c r="U64" s="93"/>
      <c r="V64" s="93"/>
      <c r="W64" s="93"/>
      <c r="X64" s="93"/>
      <c r="Y64" s="93"/>
    </row>
    <row r="65" spans="1:28" ht="18.95" customHeight="1">
      <c r="A65" s="3" t="s">
        <v>56</v>
      </c>
      <c r="B65" s="75">
        <v>217</v>
      </c>
      <c r="C65" s="160"/>
      <c r="D65" s="841"/>
      <c r="E65" s="35"/>
      <c r="F65" s="42"/>
      <c r="G65" s="817"/>
      <c r="H65" s="42">
        <f>E65+F65/B65*100</f>
        <v>0</v>
      </c>
      <c r="I65" s="252"/>
      <c r="J65" s="859"/>
      <c r="K65" s="55">
        <v>28</v>
      </c>
      <c r="L65" s="41"/>
      <c r="M65" s="42"/>
      <c r="N65" s="790"/>
      <c r="O65" s="35">
        <f t="shared" si="9"/>
        <v>28</v>
      </c>
      <c r="P65" s="84">
        <f>O65/B65*100</f>
        <v>12.903225806451612</v>
      </c>
      <c r="Q65" s="235"/>
      <c r="R65" s="893">
        <f>(O65)/B65*100</f>
        <v>12.903225806451612</v>
      </c>
      <c r="S65" s="307">
        <f t="shared" si="17"/>
        <v>0</v>
      </c>
      <c r="T65" s="309">
        <f t="shared" si="18"/>
        <v>0</v>
      </c>
      <c r="U65" s="93"/>
      <c r="V65" s="93"/>
      <c r="W65" s="93"/>
      <c r="X65" s="93"/>
      <c r="Y65" s="93"/>
    </row>
    <row r="66" spans="1:28" ht="18.95" customHeight="1">
      <c r="A66" s="3" t="s">
        <v>57</v>
      </c>
      <c r="B66" s="75">
        <v>3</v>
      </c>
      <c r="C66" s="160">
        <v>113</v>
      </c>
      <c r="D66" s="841">
        <v>114</v>
      </c>
      <c r="E66" s="36"/>
      <c r="F66" s="40">
        <v>111</v>
      </c>
      <c r="G66" s="824">
        <v>3</v>
      </c>
      <c r="H66" s="212">
        <f>E66+F66/B66</f>
        <v>37</v>
      </c>
      <c r="I66" s="230">
        <f>E66+F66/C66*100</f>
        <v>98.230088495575217</v>
      </c>
      <c r="J66" s="868">
        <f t="shared" si="3"/>
        <v>97.368421052631575</v>
      </c>
      <c r="K66" s="58"/>
      <c r="L66" s="39"/>
      <c r="M66" s="40"/>
      <c r="N66" s="804"/>
      <c r="O66" s="36">
        <f t="shared" si="9"/>
        <v>0</v>
      </c>
      <c r="P66" s="85"/>
      <c r="Q66" s="243">
        <f>(O66-K66)/C66</f>
        <v>0</v>
      </c>
      <c r="R66" s="894" t="s">
        <v>99</v>
      </c>
      <c r="S66" s="307">
        <f t="shared" si="17"/>
        <v>111</v>
      </c>
      <c r="T66" s="309">
        <f t="shared" si="18"/>
        <v>2</v>
      </c>
      <c r="U66" s="93"/>
      <c r="V66" s="93"/>
      <c r="W66" s="93"/>
      <c r="X66" s="93"/>
      <c r="Y66" s="93"/>
    </row>
    <row r="67" spans="1:28" ht="18.95" customHeight="1">
      <c r="A67" s="4" t="s">
        <v>58</v>
      </c>
      <c r="B67" s="75"/>
      <c r="C67" s="160">
        <v>97</v>
      </c>
      <c r="D67" s="841">
        <v>89</v>
      </c>
      <c r="E67" s="35"/>
      <c r="F67" s="42">
        <v>50</v>
      </c>
      <c r="G67" s="817">
        <v>35</v>
      </c>
      <c r="H67" s="42"/>
      <c r="I67" s="252">
        <f>E67+F67/C67*100</f>
        <v>51.546391752577314</v>
      </c>
      <c r="J67" s="859">
        <f t="shared" si="3"/>
        <v>56.17977528089888</v>
      </c>
      <c r="K67" s="55"/>
      <c r="L67" s="41">
        <v>10</v>
      </c>
      <c r="M67" s="42">
        <v>5</v>
      </c>
      <c r="N67" s="790">
        <v>2</v>
      </c>
      <c r="O67" s="35">
        <f t="shared" si="9"/>
        <v>17</v>
      </c>
      <c r="P67" s="84"/>
      <c r="Q67" s="235">
        <f>(O67-K67)/C67*100</f>
        <v>17.525773195876287</v>
      </c>
      <c r="R67" s="881">
        <f>(O67-K67)/D67*100</f>
        <v>19.101123595505616</v>
      </c>
      <c r="S67" s="307">
        <f t="shared" si="17"/>
        <v>50</v>
      </c>
      <c r="T67" s="309">
        <f t="shared" si="18"/>
        <v>47</v>
      </c>
      <c r="U67" s="93"/>
      <c r="V67" s="93"/>
      <c r="W67" s="93"/>
      <c r="X67" s="93"/>
      <c r="Y67" s="93"/>
    </row>
    <row r="68" spans="1:28" ht="18.95" customHeight="1" thickBot="1">
      <c r="A68" s="5" t="s">
        <v>59</v>
      </c>
      <c r="B68" s="71">
        <f>SUM(B65:B67)</f>
        <v>220</v>
      </c>
      <c r="C68" s="209">
        <f>SUM(C66:C67)</f>
        <v>210</v>
      </c>
      <c r="D68" s="837">
        <f>SUM(D66:D67)</f>
        <v>203</v>
      </c>
      <c r="E68" s="71">
        <f>SUM(E66:E67)</f>
        <v>0</v>
      </c>
      <c r="F68" s="137">
        <f>SUM(F66:F67)</f>
        <v>161</v>
      </c>
      <c r="G68" s="813">
        <f>SUM(G66:G67)</f>
        <v>38</v>
      </c>
      <c r="H68" s="155">
        <f>E68+F68/B68*100</f>
        <v>73.181818181818187</v>
      </c>
      <c r="I68" s="248">
        <f>E68+F68/C68*100</f>
        <v>76.666666666666671</v>
      </c>
      <c r="J68" s="861">
        <f t="shared" si="3"/>
        <v>79.310344827586206</v>
      </c>
      <c r="K68" s="12">
        <f>SUM(K65:K67)</f>
        <v>28</v>
      </c>
      <c r="L68" s="21">
        <f>SUM(L65:L67)</f>
        <v>10</v>
      </c>
      <c r="M68" s="27">
        <f>SUM(M65:M67)</f>
        <v>5</v>
      </c>
      <c r="N68" s="788">
        <f>SUM(N65:N67)</f>
        <v>2</v>
      </c>
      <c r="O68" s="15">
        <f t="shared" si="9"/>
        <v>45</v>
      </c>
      <c r="P68" s="78">
        <f>O68/B68*100</f>
        <v>20.454545454545457</v>
      </c>
      <c r="Q68" s="232">
        <f>(O68-K68)/C68*100</f>
        <v>8.0952380952380949</v>
      </c>
      <c r="R68" s="883">
        <f t="shared" si="5"/>
        <v>8.3743842364532011</v>
      </c>
      <c r="S68" s="307">
        <f t="shared" si="17"/>
        <v>161</v>
      </c>
      <c r="T68" s="309">
        <f t="shared" si="18"/>
        <v>49</v>
      </c>
      <c r="U68" s="93"/>
      <c r="V68" s="93"/>
      <c r="W68" s="93"/>
      <c r="X68" s="93"/>
      <c r="Y68" s="93"/>
    </row>
    <row r="69" spans="1:28" ht="18.95" customHeight="1">
      <c r="A69" s="1" t="s">
        <v>15</v>
      </c>
      <c r="B69" s="74"/>
      <c r="C69" s="159"/>
      <c r="D69" s="842"/>
      <c r="E69" s="38"/>
      <c r="F69" s="54"/>
      <c r="G69" s="818"/>
      <c r="H69" s="91"/>
      <c r="I69" s="54"/>
      <c r="J69" s="862"/>
      <c r="K69" s="52"/>
      <c r="L69" s="53"/>
      <c r="M69" s="54"/>
      <c r="N69" s="794"/>
      <c r="O69" s="38">
        <f t="shared" si="9"/>
        <v>0</v>
      </c>
      <c r="P69" s="82"/>
      <c r="Q69" s="237"/>
      <c r="R69" s="884"/>
      <c r="S69" s="304" t="s">
        <v>35</v>
      </c>
      <c r="T69" s="309"/>
      <c r="U69" s="93"/>
      <c r="V69" s="93"/>
      <c r="W69" s="93"/>
      <c r="X69" s="93"/>
      <c r="Y69" s="93"/>
    </row>
    <row r="70" spans="1:28" ht="18.95" customHeight="1">
      <c r="A70" s="10" t="s">
        <v>16</v>
      </c>
      <c r="B70" s="126">
        <v>74</v>
      </c>
      <c r="C70" s="163">
        <v>73</v>
      </c>
      <c r="D70" s="845">
        <v>74</v>
      </c>
      <c r="E70" s="62"/>
      <c r="F70" s="61">
        <v>66</v>
      </c>
      <c r="G70" s="825">
        <v>4</v>
      </c>
      <c r="H70" s="176">
        <f>E70+F70/B70*100</f>
        <v>89.189189189189193</v>
      </c>
      <c r="I70" s="230">
        <f>E70+F70/C70*100</f>
        <v>90.410958904109577</v>
      </c>
      <c r="J70" s="869">
        <f t="shared" si="3"/>
        <v>89.189189189189193</v>
      </c>
      <c r="K70" s="59">
        <v>1</v>
      </c>
      <c r="L70" s="60"/>
      <c r="M70" s="61">
        <v>1</v>
      </c>
      <c r="N70" s="805">
        <v>1</v>
      </c>
      <c r="O70" s="62">
        <f t="shared" si="9"/>
        <v>3</v>
      </c>
      <c r="P70" s="86">
        <f>O70/B70*100</f>
        <v>4.0540540540540544</v>
      </c>
      <c r="Q70" s="244">
        <f>(O70-K70)/C70*100</f>
        <v>2.7397260273972601</v>
      </c>
      <c r="R70" s="895">
        <f>(O70)/D70*100</f>
        <v>4.0540540540540544</v>
      </c>
      <c r="S70" s="307">
        <f t="shared" si="17"/>
        <v>66</v>
      </c>
      <c r="T70" s="309"/>
      <c r="U70" s="93"/>
      <c r="V70" s="93"/>
      <c r="W70" s="93"/>
      <c r="X70" s="93"/>
      <c r="Y70" s="93"/>
    </row>
    <row r="71" spans="1:28" s="110" customFormat="1" ht="18.95" customHeight="1" thickBot="1">
      <c r="A71" s="5" t="s">
        <v>17</v>
      </c>
      <c r="B71" s="127">
        <v>74</v>
      </c>
      <c r="C71" s="77">
        <v>73</v>
      </c>
      <c r="D71" s="837">
        <f>SUM(D70)</f>
        <v>74</v>
      </c>
      <c r="E71" s="77"/>
      <c r="F71" s="137">
        <v>66</v>
      </c>
      <c r="G71" s="813">
        <f>SUM(G69:G70)</f>
        <v>4</v>
      </c>
      <c r="H71" s="90">
        <f>E71+F71/B71*100</f>
        <v>89.189189189189193</v>
      </c>
      <c r="I71" s="248">
        <f>E71+F71/C71*100</f>
        <v>90.410958904109577</v>
      </c>
      <c r="J71" s="861">
        <f t="shared" si="3"/>
        <v>89.189189189189193</v>
      </c>
      <c r="K71" s="12">
        <f>SUM(K70)</f>
        <v>1</v>
      </c>
      <c r="L71" s="27">
        <f>SUM(L70)</f>
        <v>0</v>
      </c>
      <c r="M71" s="27">
        <f>SUM(M70)</f>
        <v>1</v>
      </c>
      <c r="N71" s="788">
        <f>SUM(N70)</f>
        <v>1</v>
      </c>
      <c r="O71" s="15">
        <f>SUM(O70)</f>
        <v>3</v>
      </c>
      <c r="P71" s="78">
        <f>O71/B71*100</f>
        <v>4.0540540540540544</v>
      </c>
      <c r="Q71" s="232">
        <f>(O71-K71)/C71*100</f>
        <v>2.7397260273972601</v>
      </c>
      <c r="R71" s="883">
        <f>(O71)/D71*100</f>
        <v>4.0540540540540544</v>
      </c>
      <c r="S71" s="307"/>
      <c r="T71" s="309"/>
      <c r="U71" s="93"/>
      <c r="V71" s="93"/>
      <c r="W71" s="93"/>
      <c r="X71" s="93"/>
      <c r="Y71" s="93"/>
      <c r="Z71" s="111"/>
      <c r="AA71" s="100"/>
      <c r="AB71" s="100"/>
    </row>
    <row r="72" spans="1:28" s="110" customFormat="1" ht="18.95" customHeight="1">
      <c r="A72" s="105" t="s">
        <v>25</v>
      </c>
      <c r="B72" s="221">
        <f>+B74-B62</f>
        <v>3686</v>
      </c>
      <c r="C72" s="222">
        <f>+C74-C62</f>
        <v>3189</v>
      </c>
      <c r="D72" s="846">
        <f>+D74-D62</f>
        <v>3668</v>
      </c>
      <c r="E72" s="223">
        <f>E74-E62</f>
        <v>663</v>
      </c>
      <c r="F72" s="224">
        <f>F74-F62</f>
        <v>1249</v>
      </c>
      <c r="G72" s="826">
        <f>G74-G62</f>
        <v>766</v>
      </c>
      <c r="H72" s="107">
        <f>(E72+F72)/B72*100</f>
        <v>51.871947911014651</v>
      </c>
      <c r="I72" s="253">
        <f>(E72+F72)/C72*100</f>
        <v>59.956099090624015</v>
      </c>
      <c r="J72" s="870">
        <f>(E72+F72)/D72*100</f>
        <v>52.126499454743723</v>
      </c>
      <c r="K72" s="105">
        <f>+K74-K62</f>
        <v>340</v>
      </c>
      <c r="L72" s="106">
        <f>+L74-L62</f>
        <v>332</v>
      </c>
      <c r="M72" s="106">
        <f>+M74-M62</f>
        <v>121</v>
      </c>
      <c r="N72" s="806">
        <f>+N74-N62</f>
        <v>81</v>
      </c>
      <c r="O72" s="225">
        <f>+O74-O62</f>
        <v>874</v>
      </c>
      <c r="P72" s="175">
        <f>O72/B72*100</f>
        <v>23.711340206185564</v>
      </c>
      <c r="Q72" s="245">
        <f>(O72-K72)/C72*100</f>
        <v>16.745061147695203</v>
      </c>
      <c r="R72" s="896">
        <f>(O72)/D72*100</f>
        <v>23.827699018538713</v>
      </c>
      <c r="S72" s="313"/>
      <c r="T72" s="313"/>
    </row>
    <row r="73" spans="1:28" s="110" customFormat="1" ht="18.95" customHeight="1" thickBot="1">
      <c r="A73" s="12" t="s">
        <v>26</v>
      </c>
      <c r="B73" s="71">
        <f>+B62</f>
        <v>60</v>
      </c>
      <c r="C73" s="156">
        <f t="shared" ref="C73:Q73" si="20">+C62</f>
        <v>60</v>
      </c>
      <c r="D73" s="837">
        <f t="shared" si="20"/>
        <v>60</v>
      </c>
      <c r="E73" s="77">
        <f t="shared" si="20"/>
        <v>0</v>
      </c>
      <c r="F73" s="137">
        <f t="shared" si="20"/>
        <v>53</v>
      </c>
      <c r="G73" s="813">
        <f t="shared" si="20"/>
        <v>3</v>
      </c>
      <c r="H73" s="90">
        <f>(E73+F73)/B73*100</f>
        <v>88.333333333333329</v>
      </c>
      <c r="I73" s="248">
        <f>(E73+F73)/C73*100</f>
        <v>88.333333333333329</v>
      </c>
      <c r="J73" s="871">
        <f t="shared" si="3"/>
        <v>88.333333333333329</v>
      </c>
      <c r="K73" s="12">
        <f t="shared" si="20"/>
        <v>0</v>
      </c>
      <c r="L73" s="21">
        <f t="shared" si="20"/>
        <v>0</v>
      </c>
      <c r="M73" s="27">
        <f t="shared" si="20"/>
        <v>0</v>
      </c>
      <c r="N73" s="788">
        <f t="shared" si="20"/>
        <v>0</v>
      </c>
      <c r="O73" s="226">
        <f t="shared" si="20"/>
        <v>0</v>
      </c>
      <c r="P73" s="220">
        <f t="shared" si="20"/>
        <v>0</v>
      </c>
      <c r="Q73" s="246">
        <f t="shared" si="20"/>
        <v>0</v>
      </c>
      <c r="R73" s="897">
        <f t="shared" si="5"/>
        <v>0</v>
      </c>
      <c r="S73" s="313"/>
      <c r="T73" s="313"/>
    </row>
    <row r="74" spans="1:28" s="110" customFormat="1" ht="18.95" customHeight="1" thickBot="1">
      <c r="A74" s="174" t="s">
        <v>18</v>
      </c>
      <c r="B74" s="213">
        <f t="shared" ref="B74:G74" si="21">B17+B23+B28+B60+B63+B68+B71</f>
        <v>3746</v>
      </c>
      <c r="C74" s="214">
        <f t="shared" si="21"/>
        <v>3249</v>
      </c>
      <c r="D74" s="847">
        <f t="shared" si="21"/>
        <v>3728</v>
      </c>
      <c r="E74" s="213">
        <f t="shared" si="21"/>
        <v>663</v>
      </c>
      <c r="F74" s="215">
        <f t="shared" si="21"/>
        <v>1302</v>
      </c>
      <c r="G74" s="777">
        <f t="shared" si="21"/>
        <v>769</v>
      </c>
      <c r="H74" s="217">
        <f>(E74+F74)/B74*100</f>
        <v>52.455953016550986</v>
      </c>
      <c r="I74" s="254">
        <f>(E74+F74)/C74*100</f>
        <v>60.480147737765463</v>
      </c>
      <c r="J74" s="872">
        <f t="shared" si="3"/>
        <v>52.709227467811161</v>
      </c>
      <c r="K74" s="218">
        <f>K17+K23+K28+K60+K63+K68+K71</f>
        <v>340</v>
      </c>
      <c r="L74" s="153">
        <f>L17+L23+L28+L60+L63+L68+L71</f>
        <v>332</v>
      </c>
      <c r="M74" s="153">
        <f>M17+M23+M28+M60+M63+M68+M71</f>
        <v>121</v>
      </c>
      <c r="N74" s="807">
        <f>N17+N23+N28+N60+N63+N68+N71</f>
        <v>81</v>
      </c>
      <c r="O74" s="183">
        <f>O17+O23+O28+O60+O63+O68+O71</f>
        <v>874</v>
      </c>
      <c r="P74" s="219">
        <f>O74/B74*100</f>
        <v>23.331553657234384</v>
      </c>
      <c r="Q74" s="247">
        <f>(O74-K74)/C74*100</f>
        <v>16.435826408125578</v>
      </c>
      <c r="R74" s="898">
        <f>(O74)/D74*100</f>
        <v>23.444206008583691</v>
      </c>
      <c r="S74" s="307"/>
      <c r="T74" s="309"/>
      <c r="U74" s="93"/>
      <c r="V74" s="93"/>
      <c r="W74" s="93"/>
      <c r="X74" s="93"/>
      <c r="Y74" s="93"/>
      <c r="Z74" s="111"/>
      <c r="AA74" s="100"/>
      <c r="AB74" s="100"/>
    </row>
    <row r="75" spans="1:28" s="110" customFormat="1" ht="21.75" customHeight="1">
      <c r="A75" s="942" t="s">
        <v>48</v>
      </c>
      <c r="B75" s="942"/>
      <c r="C75" s="942"/>
      <c r="D75" s="942"/>
      <c r="E75" s="942"/>
      <c r="F75" s="942"/>
      <c r="G75" s="942"/>
      <c r="H75" s="942"/>
      <c r="I75" s="942"/>
      <c r="J75" s="942"/>
      <c r="K75" s="942"/>
      <c r="L75" s="942"/>
      <c r="M75" s="942"/>
      <c r="N75" s="942"/>
      <c r="O75" s="942"/>
      <c r="P75" s="942"/>
      <c r="Q75" s="942"/>
      <c r="R75" s="899"/>
      <c r="S75" s="314"/>
      <c r="T75" s="314"/>
      <c r="U75" s="318"/>
      <c r="V75" s="318"/>
      <c r="W75" s="318"/>
      <c r="X75" s="318"/>
      <c r="Y75" s="318"/>
      <c r="Z75" s="111"/>
      <c r="AA75" s="100"/>
      <c r="AB75" s="100"/>
    </row>
    <row r="76" spans="1:28" s="30" customFormat="1" ht="18.75" customHeight="1">
      <c r="A76" s="943" t="s">
        <v>97</v>
      </c>
      <c r="B76" s="943"/>
      <c r="C76" s="943"/>
      <c r="D76" s="943"/>
      <c r="E76" s="943"/>
      <c r="F76" s="943"/>
      <c r="G76" s="943"/>
      <c r="H76" s="943"/>
      <c r="I76" s="943"/>
      <c r="J76" s="943"/>
      <c r="K76" s="943"/>
      <c r="L76" s="943"/>
      <c r="M76" s="943"/>
      <c r="N76" s="943"/>
      <c r="O76" s="943"/>
      <c r="P76" s="943"/>
      <c r="Q76" s="943"/>
      <c r="R76" s="899"/>
      <c r="S76" s="315"/>
      <c r="T76" s="315"/>
      <c r="U76" s="318"/>
      <c r="V76" s="318"/>
      <c r="W76" s="318"/>
      <c r="X76" s="318"/>
      <c r="Y76" s="318"/>
      <c r="Z76" s="115"/>
      <c r="AA76" s="110"/>
      <c r="AB76" s="110"/>
    </row>
    <row r="77" spans="1:28" s="99" customFormat="1" ht="20.25" customHeight="1">
      <c r="A77" s="943" t="s">
        <v>98</v>
      </c>
      <c r="B77" s="943"/>
      <c r="C77" s="943"/>
      <c r="D77" s="943"/>
      <c r="E77" s="943"/>
      <c r="F77" s="943"/>
      <c r="G77" s="943"/>
      <c r="H77" s="943"/>
      <c r="I77" s="943"/>
      <c r="J77" s="943"/>
      <c r="K77" s="943"/>
      <c r="L77" s="943"/>
      <c r="M77" s="943"/>
      <c r="N77" s="943"/>
      <c r="O77" s="943"/>
      <c r="P77" s="943"/>
      <c r="Q77" s="943"/>
      <c r="R77" s="899"/>
      <c r="S77" s="315"/>
      <c r="T77" s="315"/>
      <c r="U77" s="318"/>
      <c r="V77" s="318"/>
      <c r="W77" s="318"/>
      <c r="X77" s="318"/>
      <c r="Y77" s="318"/>
      <c r="Z77" s="115"/>
      <c r="AA77" s="110"/>
      <c r="AB77" s="110"/>
    </row>
    <row r="78" spans="1:28" ht="20.25" customHeight="1">
      <c r="A78" s="116" t="s">
        <v>45</v>
      </c>
      <c r="B78" s="99"/>
      <c r="C78" s="99"/>
      <c r="D78" s="848"/>
      <c r="E78" s="99"/>
      <c r="F78" s="117"/>
      <c r="G78" s="778"/>
      <c r="H78" s="99"/>
      <c r="I78" s="99"/>
      <c r="J78" s="873"/>
      <c r="K78" s="99"/>
      <c r="L78" s="99"/>
      <c r="M78" s="99"/>
      <c r="N78" s="778"/>
      <c r="O78" s="99"/>
      <c r="P78" s="99"/>
      <c r="S78" s="316"/>
      <c r="T78" s="316"/>
      <c r="U78" s="99"/>
      <c r="V78" s="99"/>
      <c r="W78" s="99"/>
      <c r="X78" s="99"/>
      <c r="Y78" s="99"/>
      <c r="Z78" s="95"/>
      <c r="AA78" s="30"/>
      <c r="AB78" s="30"/>
    </row>
    <row r="79" spans="1:28" ht="24" customHeight="1">
      <c r="A79" s="181" t="s">
        <v>129</v>
      </c>
      <c r="B79" s="180"/>
      <c r="C79" s="180"/>
      <c r="D79" s="849"/>
      <c r="E79" s="180"/>
      <c r="F79" s="180"/>
      <c r="G79" s="779"/>
      <c r="H79" s="180"/>
      <c r="I79" s="180"/>
      <c r="J79" s="874"/>
      <c r="K79" s="180"/>
      <c r="L79" s="180"/>
      <c r="M79" s="180"/>
      <c r="N79" s="779"/>
      <c r="P79" s="180"/>
      <c r="R79" s="900" t="s">
        <v>130</v>
      </c>
      <c r="Z79" s="117"/>
      <c r="AA79" s="99"/>
      <c r="AB79" s="99"/>
    </row>
  </sheetData>
  <mergeCells count="15">
    <mergeCell ref="A1:Q1"/>
    <mergeCell ref="A2:Q2"/>
    <mergeCell ref="A4:A5"/>
    <mergeCell ref="B4:C4"/>
    <mergeCell ref="D4:D5"/>
    <mergeCell ref="E4:G4"/>
    <mergeCell ref="H4:J4"/>
    <mergeCell ref="K4:O4"/>
    <mergeCell ref="P4:R4"/>
    <mergeCell ref="A75:Q75"/>
    <mergeCell ref="A76:Q76"/>
    <mergeCell ref="A77:Q77"/>
    <mergeCell ref="G3:H3"/>
    <mergeCell ref="I3:J3"/>
    <mergeCell ref="N3:O3"/>
  </mergeCells>
  <printOptions horizontalCentered="1"/>
  <pageMargins left="0.35433070866141736" right="0.15748031496062992" top="0.39370078740157483" bottom="0.39370078740157483" header="0.15748031496062992" footer="0.15748031496062992"/>
  <pageSetup paperSize="9" scale="54" orientation="portrait" r:id="rId1"/>
  <headerFooter>
    <oddFooter>&amp;L&amp;"TH SarabunPSK,Regular"&amp;8&amp;K00+000&amp;Z&amp;F&amp;R&amp;"TH SarabunPSK,Regular"&amp;16&amp;K00+000&amp;P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AUN-QA 11.1-1-รุ่น59</vt:lpstr>
      <vt:lpstr>AUN-QA 11.1-1-รุ่น58</vt:lpstr>
      <vt:lpstr>c1-4-1-รุ่น57</vt:lpstr>
      <vt:lpstr>'AUN-QA 11.1-1-รุ่น58'!Print_Area</vt:lpstr>
      <vt:lpstr>'AUN-QA 11.1-1-รุ่น59'!Print_Area</vt:lpstr>
      <vt:lpstr>'c1-4-1-รุ่น57'!Print_Area</vt:lpstr>
      <vt:lpstr>'AUN-QA 11.1-1-รุ่น58'!Print_Titles</vt:lpstr>
      <vt:lpstr>'AUN-QA 11.1-1-รุ่น59'!Print_Titles</vt:lpstr>
      <vt:lpstr>'c1-4-1-รุ่น57'!Print_Titles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CCS</cp:lastModifiedBy>
  <cp:lastPrinted>2020-08-25T08:23:44Z</cp:lastPrinted>
  <dcterms:created xsi:type="dcterms:W3CDTF">2016-04-06T13:08:10Z</dcterms:created>
  <dcterms:modified xsi:type="dcterms:W3CDTF">2020-09-01T07:29:57Z</dcterms:modified>
</cp:coreProperties>
</file>